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410" tabRatio="871" activeTab="6"/>
  </bookViews>
  <sheets>
    <sheet name="Read Me" sheetId="1" r:id="rId1"/>
    <sheet name="RAW Asset Allocation" sheetId="2" r:id="rId2"/>
    <sheet name="Asset-Allocation" sheetId="3" r:id="rId3"/>
    <sheet name="Reallocation" sheetId="4" r:id="rId4"/>
    <sheet name="Rebalance 25%" sheetId="5" r:id="rId5"/>
    <sheet name="Rebalance 30%" sheetId="6" r:id="rId6"/>
    <sheet name="Performance" sheetId="7" r:id="rId7"/>
    <sheet name="Horizontal Performance" sheetId="8" r:id="rId8"/>
  </sheets>
  <definedNames/>
  <calcPr fullCalcOnLoad="1"/>
</workbook>
</file>

<file path=xl/sharedStrings.xml><?xml version="1.0" encoding="utf-8"?>
<sst xmlns="http://schemas.openxmlformats.org/spreadsheetml/2006/main" count="465" uniqueCount="61">
  <si>
    <t>Index Investing</t>
  </si>
  <si>
    <t>Index</t>
  </si>
  <si>
    <t>Initial Investment</t>
  </si>
  <si>
    <t xml:space="preserve"> </t>
  </si>
  <si>
    <t>Large Growth</t>
  </si>
  <si>
    <t>% Gain</t>
  </si>
  <si>
    <t>Mid Growth</t>
  </si>
  <si>
    <t>Large Value</t>
  </si>
  <si>
    <t>Mid Value</t>
  </si>
  <si>
    <t>Small Value</t>
  </si>
  <si>
    <t>Intermational</t>
  </si>
  <si>
    <t>Final Investment</t>
  </si>
  <si>
    <t>Totals</t>
  </si>
  <si>
    <t>Port %</t>
  </si>
  <si>
    <t>Index Rank</t>
  </si>
  <si>
    <t>Index Fees</t>
  </si>
  <si>
    <t>% Increase</t>
  </si>
  <si>
    <t>Large Growth (IVW)</t>
  </si>
  <si>
    <t>Mid Growth (IJK)</t>
  </si>
  <si>
    <t>Small Gr (IJT)</t>
  </si>
  <si>
    <t>Large Value (IVE)</t>
  </si>
  <si>
    <t>Mid Value (IJJ)</t>
  </si>
  <si>
    <t>Small Value (IJS)</t>
  </si>
  <si>
    <t>OK</t>
  </si>
  <si>
    <t>NO</t>
  </si>
  <si>
    <t>Percentage</t>
  </si>
  <si>
    <t>Check</t>
  </si>
  <si>
    <t>Performance</t>
  </si>
  <si>
    <t>Other</t>
  </si>
  <si>
    <t>Five Years</t>
  </si>
  <si>
    <t>Asset- Allocation Worksheet</t>
  </si>
  <si>
    <t>Reallocation Worksheet</t>
  </si>
  <si>
    <t>In this portfolio, the allocation is skewed toward the value side of the investment equation.  Again, no rebalancing takes place.</t>
  </si>
  <si>
    <t>Rebalancing Worksheet</t>
  </si>
  <si>
    <t>This worksheet is a replication of the Reallocation Worksheet, only this time rebalancing takes place.  Each asset class is permitted upper and lower limits of 30% of the asset class.  When an asset class breaches the upper or lower limit, rebalancing takes place by pulling money from an overperformer to fund an underperformer.  In this example, rebalancing did not enhance the portfolios performance.</t>
  </si>
  <si>
    <t>Year to date 2005</t>
  </si>
  <si>
    <t>Year-to-date   2005</t>
  </si>
  <si>
    <t>Year</t>
  </si>
  <si>
    <t>Small Growth</t>
  </si>
  <si>
    <t>Int'l</t>
  </si>
  <si>
    <t>Small Growth (IJT)</t>
  </si>
  <si>
    <t>Int'l  (ICF)</t>
  </si>
  <si>
    <t>REITs</t>
  </si>
  <si>
    <t>REITS</t>
  </si>
  <si>
    <t>REITS (ICF)</t>
  </si>
  <si>
    <t>Intermational (EFA)</t>
  </si>
  <si>
    <t>Internat (EFA)</t>
  </si>
  <si>
    <t>Limit</t>
  </si>
  <si>
    <t>Rebalance</t>
  </si>
  <si>
    <t>Balance</t>
  </si>
  <si>
    <t>Triggered if 1 asset at 25%</t>
  </si>
  <si>
    <t>The data (1989 - 2004) for these worksheets comes from Ariel Capital Management, LLC</t>
  </si>
  <si>
    <t>This portfolio is built on eight different asset classes.  Each class receives the same amount of money and no rebalancing takes place.</t>
  </si>
  <si>
    <t>Int'l (EFA)</t>
  </si>
  <si>
    <t>Rebalancing every year</t>
  </si>
  <si>
    <t>IRR</t>
  </si>
  <si>
    <t>Portfolio</t>
  </si>
  <si>
    <t>Annual Factors</t>
  </si>
  <si>
    <t>Inception to Date Factors</t>
  </si>
  <si>
    <t>InceptionToDate IRR</t>
  </si>
  <si>
    <t>Valuation per Asset Class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</si>
</sst>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 numFmtId="165" formatCode="_(&quot;$&quot;* #,##0.000_);_(&quot;$&quot;* \(#,##0.000\);_(&quot;$&quot;* &quot;-&quot;???_);_(@_)"/>
    <numFmt numFmtId="166" formatCode="0.0%"/>
    <numFmt numFmtId="167" formatCode="_(* #,##0.000_);_(* \(#,##0.000\);_(* &quot;-&quot;??_);_(@_)"/>
    <numFmt numFmtId="168" formatCode="_(* #,##0.000_);_(* \(#,##0.000\);_(* &quot;-&quot;???_);_(@_)"/>
    <numFmt numFmtId="169" formatCode="0.000%"/>
    <numFmt numFmtId="170" formatCode="_(&quot;$&quot;* #,##0.000_);_(&quot;$&quot;* \(#,##0.000\);_(&quot;$&quot;* &quot;-&quot;??_);_(@_)"/>
    <numFmt numFmtId="171" formatCode="0.0000%"/>
    <numFmt numFmtId="172" formatCode="&quot;$&quot;#,##0"/>
    <numFmt numFmtId="173" formatCode="&quot;$&quot;#,##0.00"/>
    <numFmt numFmtId="174" formatCode="0.0000"/>
    <numFmt numFmtId="175" formatCode="0.00000"/>
  </numFmts>
  <fonts count="13">
    <font>
      <sz val="10"/>
      <name val="Arial"/>
      <family val="0"/>
    </font>
    <font>
      <sz val="8"/>
      <name val="Arial"/>
      <family val="0"/>
    </font>
    <font>
      <b/>
      <sz val="12"/>
      <name val="Arial"/>
      <family val="2"/>
    </font>
    <font>
      <b/>
      <sz val="10"/>
      <name val="Arial"/>
      <family val="2"/>
    </font>
    <font>
      <b/>
      <sz val="10"/>
      <color indexed="13"/>
      <name val="Arial"/>
      <family val="2"/>
    </font>
    <font>
      <b/>
      <sz val="12"/>
      <color indexed="13"/>
      <name val="Arial"/>
      <family val="2"/>
    </font>
    <font>
      <b/>
      <sz val="12"/>
      <color indexed="12"/>
      <name val="Arial"/>
      <family val="2"/>
    </font>
    <font>
      <b/>
      <sz val="12"/>
      <color indexed="16"/>
      <name val="Arial"/>
      <family val="2"/>
    </font>
    <font>
      <sz val="10"/>
      <color indexed="13"/>
      <name val="Arial"/>
      <family val="0"/>
    </font>
    <font>
      <i/>
      <sz val="10"/>
      <name val="Arial"/>
      <family val="2"/>
    </font>
    <font>
      <b/>
      <sz val="10"/>
      <color indexed="60"/>
      <name val="Arial"/>
      <family val="2"/>
    </font>
    <font>
      <u val="single"/>
      <sz val="10"/>
      <color indexed="12"/>
      <name val="Arial"/>
      <family val="0"/>
    </font>
    <font>
      <u val="single"/>
      <sz val="10"/>
      <color indexed="36"/>
      <name val="Arial"/>
      <family val="0"/>
    </font>
  </fonts>
  <fills count="1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14"/>
        <bgColor indexed="64"/>
      </patternFill>
    </fill>
    <fill>
      <patternFill patternType="solid">
        <fgColor indexed="16"/>
        <bgColor indexed="64"/>
      </patternFill>
    </fill>
    <fill>
      <patternFill patternType="solid">
        <fgColor indexed="48"/>
        <bgColor indexed="64"/>
      </patternFill>
    </fill>
    <fill>
      <patternFill patternType="solid">
        <fgColor indexed="17"/>
        <bgColor indexed="64"/>
      </patternFill>
    </fill>
    <fill>
      <patternFill patternType="solid">
        <fgColor indexed="40"/>
        <bgColor indexed="64"/>
      </patternFill>
    </fill>
    <fill>
      <patternFill patternType="solid">
        <fgColor indexed="18"/>
        <bgColor indexed="64"/>
      </patternFill>
    </fill>
    <fill>
      <patternFill patternType="solid">
        <fgColor indexed="53"/>
        <bgColor indexed="64"/>
      </patternFill>
    </fill>
    <fill>
      <patternFill patternType="solid">
        <fgColor indexed="11"/>
        <bgColor indexed="64"/>
      </patternFill>
    </fill>
  </fills>
  <borders count="13">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hair"/>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44" fontId="0" fillId="0" borderId="0" xfId="17" applyAlignment="1">
      <alignment/>
    </xf>
    <xf numFmtId="4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9" fontId="0" fillId="0" borderId="0" xfId="21" applyAlignment="1">
      <alignment horizontal="center"/>
    </xf>
    <xf numFmtId="166" fontId="0" fillId="0" borderId="0" xfId="21" applyNumberFormat="1" applyAlignment="1">
      <alignment horizontal="center"/>
    </xf>
    <xf numFmtId="9" fontId="0" fillId="0" borderId="0" xfId="21" applyFont="1" applyAlignment="1">
      <alignment/>
    </xf>
    <xf numFmtId="9" fontId="0" fillId="0" borderId="0" xfId="21" applyFont="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166" fontId="0" fillId="0" borderId="0" xfId="21" applyNumberFormat="1" applyAlignment="1">
      <alignment/>
    </xf>
    <xf numFmtId="0" fontId="2" fillId="4" borderId="3" xfId="0" applyFont="1" applyFill="1" applyBorder="1" applyAlignment="1">
      <alignment horizontal="center"/>
    </xf>
    <xf numFmtId="0" fontId="2" fillId="4" borderId="4" xfId="0" applyFont="1" applyFill="1" applyBorder="1" applyAlignment="1">
      <alignment/>
    </xf>
    <xf numFmtId="0" fontId="2" fillId="4" borderId="4"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xf>
    <xf numFmtId="10" fontId="2" fillId="2" borderId="0" xfId="21" applyNumberFormat="1" applyFont="1" applyFill="1" applyBorder="1" applyAlignment="1">
      <alignment/>
    </xf>
    <xf numFmtId="10" fontId="2" fillId="2" borderId="3" xfId="21" applyNumberFormat="1" applyFont="1" applyFill="1" applyBorder="1" applyAlignment="1">
      <alignment/>
    </xf>
    <xf numFmtId="10" fontId="0" fillId="0" borderId="0" xfId="21" applyNumberFormat="1" applyFont="1" applyAlignment="1">
      <alignment horizontal="center"/>
    </xf>
    <xf numFmtId="10" fontId="0" fillId="0" borderId="0" xfId="21" applyNumberFormat="1" applyAlignment="1">
      <alignment horizontal="center"/>
    </xf>
    <xf numFmtId="10" fontId="0" fillId="0" borderId="0" xfId="21" applyNumberFormat="1" applyAlignment="1">
      <alignment/>
    </xf>
    <xf numFmtId="14" fontId="0" fillId="0" borderId="0" xfId="0" applyNumberFormat="1" applyAlignment="1">
      <alignment/>
    </xf>
    <xf numFmtId="10" fontId="4" fillId="5" borderId="0" xfId="21" applyNumberFormat="1" applyFont="1" applyFill="1" applyAlignment="1">
      <alignment horizontal="center"/>
    </xf>
    <xf numFmtId="166" fontId="0" fillId="6" borderId="0" xfId="21" applyNumberFormat="1" applyFill="1" applyAlignment="1">
      <alignment horizontal="center"/>
    </xf>
    <xf numFmtId="166" fontId="0" fillId="7" borderId="0" xfId="21" applyNumberFormat="1" applyFill="1" applyAlignment="1">
      <alignment horizontal="center"/>
    </xf>
    <xf numFmtId="166" fontId="0" fillId="2" borderId="0" xfId="21" applyNumberFormat="1" applyFill="1" applyAlignment="1">
      <alignment horizontal="center"/>
    </xf>
    <xf numFmtId="166" fontId="0" fillId="0" borderId="0" xfId="0" applyNumberFormat="1" applyAlignment="1">
      <alignment/>
    </xf>
    <xf numFmtId="166" fontId="0" fillId="2" borderId="0" xfId="21" applyNumberFormat="1" applyFont="1" applyFill="1" applyAlignment="1">
      <alignment horizontal="center"/>
    </xf>
    <xf numFmtId="166" fontId="0" fillId="0" borderId="0" xfId="21" applyNumberFormat="1" applyAlignment="1">
      <alignment horizontal="right"/>
    </xf>
    <xf numFmtId="0" fontId="6" fillId="3" borderId="5" xfId="0" applyFont="1" applyFill="1" applyBorder="1" applyAlignment="1">
      <alignment horizontal="center"/>
    </xf>
    <xf numFmtId="10" fontId="0" fillId="6" borderId="0" xfId="21" applyNumberFormat="1" applyFill="1" applyAlignment="1">
      <alignment horizontal="center"/>
    </xf>
    <xf numFmtId="0" fontId="5" fillId="8" borderId="6" xfId="0" applyFont="1" applyFill="1" applyBorder="1" applyAlignment="1">
      <alignment horizontal="center"/>
    </xf>
    <xf numFmtId="10" fontId="5" fillId="8" borderId="7" xfId="0" applyNumberFormat="1" applyFont="1" applyFill="1" applyBorder="1" applyAlignment="1">
      <alignment horizontal="center"/>
    </xf>
    <xf numFmtId="0" fontId="5" fillId="5" borderId="6" xfId="0" applyFont="1" applyFill="1" applyBorder="1" applyAlignment="1">
      <alignment horizontal="center"/>
    </xf>
    <xf numFmtId="0" fontId="5" fillId="7" borderId="6" xfId="0" applyFont="1" applyFill="1" applyBorder="1" applyAlignment="1">
      <alignment horizontal="center"/>
    </xf>
    <xf numFmtId="10" fontId="5" fillId="7" borderId="7" xfId="0" applyNumberFormat="1" applyFont="1" applyFill="1" applyBorder="1" applyAlignment="1">
      <alignment horizontal="center"/>
    </xf>
    <xf numFmtId="0" fontId="5" fillId="9" borderId="6" xfId="0" applyFont="1" applyFill="1" applyBorder="1" applyAlignment="1">
      <alignment horizontal="center"/>
    </xf>
    <xf numFmtId="10" fontId="5" fillId="9" borderId="7" xfId="0" applyNumberFormat="1" applyFont="1" applyFill="1" applyBorder="1" applyAlignment="1">
      <alignment horizontal="center"/>
    </xf>
    <xf numFmtId="0" fontId="5" fillId="10" borderId="6" xfId="0" applyFont="1" applyFill="1" applyBorder="1" applyAlignment="1">
      <alignment horizontal="center"/>
    </xf>
    <xf numFmtId="10" fontId="5" fillId="10" borderId="7" xfId="0" applyNumberFormat="1" applyFont="1" applyFill="1" applyBorder="1" applyAlignment="1">
      <alignment horizontal="center"/>
    </xf>
    <xf numFmtId="0" fontId="7" fillId="11" borderId="6" xfId="0" applyFont="1" applyFill="1" applyBorder="1" applyAlignment="1">
      <alignment horizontal="center"/>
    </xf>
    <xf numFmtId="10" fontId="7" fillId="11" borderId="7" xfId="0" applyNumberFormat="1" applyFont="1" applyFill="1" applyBorder="1" applyAlignment="1">
      <alignment horizontal="center"/>
    </xf>
    <xf numFmtId="0" fontId="5" fillId="12" borderId="6" xfId="0" applyFont="1" applyFill="1" applyBorder="1" applyAlignment="1">
      <alignment horizontal="center"/>
    </xf>
    <xf numFmtId="10" fontId="5" fillId="12" borderId="7" xfId="0" applyNumberFormat="1" applyFont="1" applyFill="1" applyBorder="1" applyAlignment="1">
      <alignment horizontal="center"/>
    </xf>
    <xf numFmtId="166" fontId="5" fillId="9" borderId="7" xfId="0" applyNumberFormat="1" applyFont="1" applyFill="1" applyBorder="1" applyAlignment="1">
      <alignment horizontal="center"/>
    </xf>
    <xf numFmtId="166" fontId="5" fillId="5" borderId="7" xfId="0" applyNumberFormat="1" applyFont="1" applyFill="1" applyBorder="1" applyAlignment="1">
      <alignment horizontal="center"/>
    </xf>
    <xf numFmtId="0" fontId="2" fillId="3" borderId="5" xfId="0" applyFont="1" applyFill="1" applyBorder="1" applyAlignment="1">
      <alignment horizontal="center"/>
    </xf>
    <xf numFmtId="166" fontId="5" fillId="7" borderId="7" xfId="0" applyNumberFormat="1" applyFont="1" applyFill="1" applyBorder="1" applyAlignment="1">
      <alignment horizontal="center"/>
    </xf>
    <xf numFmtId="166" fontId="7" fillId="11" borderId="7" xfId="0" applyNumberFormat="1" applyFont="1" applyFill="1" applyBorder="1" applyAlignment="1">
      <alignment horizontal="center"/>
    </xf>
    <xf numFmtId="166" fontId="5" fillId="10" borderId="7" xfId="0" applyNumberFormat="1" applyFont="1" applyFill="1" applyBorder="1" applyAlignment="1">
      <alignment horizontal="center"/>
    </xf>
    <xf numFmtId="10" fontId="5" fillId="5" borderId="7" xfId="0" applyNumberFormat="1" applyFont="1" applyFill="1" applyBorder="1" applyAlignment="1">
      <alignment horizontal="center"/>
    </xf>
    <xf numFmtId="0" fontId="2" fillId="13" borderId="6" xfId="0" applyFont="1" applyFill="1" applyBorder="1" applyAlignment="1">
      <alignment horizontal="center"/>
    </xf>
    <xf numFmtId="10" fontId="2" fillId="13" borderId="7" xfId="0" applyNumberFormat="1" applyFont="1" applyFill="1" applyBorder="1" applyAlignment="1">
      <alignment horizontal="center"/>
    </xf>
    <xf numFmtId="10" fontId="5" fillId="9" borderId="7" xfId="21" applyNumberFormat="1" applyFont="1" applyFill="1" applyBorder="1" applyAlignment="1">
      <alignment horizontal="center"/>
    </xf>
    <xf numFmtId="0" fontId="0" fillId="0" borderId="0" xfId="0" applyFill="1" applyAlignment="1">
      <alignment horizontal="center"/>
    </xf>
    <xf numFmtId="0" fontId="0" fillId="0" borderId="0" xfId="0" applyBorder="1" applyAlignment="1">
      <alignment/>
    </xf>
    <xf numFmtId="10" fontId="2" fillId="0" borderId="3" xfId="0" applyNumberFormat="1" applyFont="1" applyBorder="1" applyAlignment="1">
      <alignment/>
    </xf>
    <xf numFmtId="10" fontId="5" fillId="13" borderId="3" xfId="21" applyNumberFormat="1" applyFont="1" applyFill="1" applyBorder="1" applyAlignment="1">
      <alignment/>
    </xf>
    <xf numFmtId="9" fontId="0" fillId="0" borderId="0" xfId="0" applyNumberFormat="1" applyFont="1" applyFill="1" applyAlignment="1">
      <alignment horizontal="center"/>
    </xf>
    <xf numFmtId="9" fontId="0" fillId="0" borderId="0" xfId="0" applyNumberFormat="1" applyAlignment="1">
      <alignment/>
    </xf>
    <xf numFmtId="10" fontId="0" fillId="0" borderId="0" xfId="0" applyNumberFormat="1" applyAlignment="1">
      <alignment/>
    </xf>
    <xf numFmtId="166" fontId="0" fillId="0" borderId="0" xfId="21" applyNumberFormat="1" applyFill="1" applyAlignment="1">
      <alignment horizontal="center"/>
    </xf>
    <xf numFmtId="0" fontId="2" fillId="0" borderId="0" xfId="0" applyFont="1" applyFill="1" applyBorder="1" applyAlignment="1">
      <alignment horizontal="center"/>
    </xf>
    <xf numFmtId="10" fontId="0" fillId="0" borderId="0" xfId="21" applyNumberFormat="1" applyFont="1" applyAlignment="1">
      <alignment/>
    </xf>
    <xf numFmtId="10" fontId="0" fillId="0" borderId="0" xfId="21" applyNumberFormat="1" applyAlignment="1">
      <alignment/>
    </xf>
    <xf numFmtId="10" fontId="2" fillId="2" borderId="4" xfId="21" applyNumberFormat="1" applyFont="1" applyFill="1" applyBorder="1" applyAlignment="1">
      <alignment/>
    </xf>
    <xf numFmtId="10" fontId="0" fillId="0" borderId="0" xfId="21" applyNumberFormat="1" applyFill="1" applyAlignment="1">
      <alignment horizontal="center"/>
    </xf>
    <xf numFmtId="10" fontId="0" fillId="0" borderId="0" xfId="0" applyNumberFormat="1" applyAlignment="1">
      <alignment horizontal="center"/>
    </xf>
    <xf numFmtId="10" fontId="0" fillId="0" borderId="0" xfId="17" applyNumberFormat="1" applyAlignment="1">
      <alignment horizontal="center"/>
    </xf>
    <xf numFmtId="44" fontId="0" fillId="0" borderId="0" xfId="17" applyAlignment="1">
      <alignment horizontal="center"/>
    </xf>
    <xf numFmtId="42" fontId="0" fillId="0" borderId="0" xfId="17" applyNumberFormat="1" applyAlignment="1">
      <alignment/>
    </xf>
    <xf numFmtId="42" fontId="0" fillId="0" borderId="0" xfId="0" applyNumberFormat="1" applyAlignment="1">
      <alignment/>
    </xf>
    <xf numFmtId="172" fontId="0" fillId="0" borderId="0" xfId="17" applyNumberFormat="1" applyAlignment="1">
      <alignment/>
    </xf>
    <xf numFmtId="5" fontId="0" fillId="0" borderId="0" xfId="17" applyNumberFormat="1" applyAlignment="1">
      <alignment/>
    </xf>
    <xf numFmtId="5" fontId="0" fillId="0" borderId="0" xfId="0" applyNumberFormat="1" applyAlignment="1">
      <alignment/>
    </xf>
    <xf numFmtId="166" fontId="0" fillId="6" borderId="0" xfId="21" applyNumberFormat="1" applyFont="1" applyFill="1" applyAlignment="1">
      <alignment horizontal="center"/>
    </xf>
    <xf numFmtId="166" fontId="0" fillId="6" borderId="0" xfId="0" applyNumberFormat="1" applyFill="1" applyAlignment="1">
      <alignment horizontal="center"/>
    </xf>
    <xf numFmtId="166" fontId="0" fillId="0" borderId="0" xfId="21" applyNumberFormat="1" applyFont="1" applyFill="1" applyAlignment="1">
      <alignment horizontal="center"/>
    </xf>
    <xf numFmtId="10" fontId="0" fillId="7" borderId="0" xfId="21" applyNumberFormat="1" applyFill="1" applyAlignment="1">
      <alignment horizontal="center"/>
    </xf>
    <xf numFmtId="6" fontId="0" fillId="0" borderId="0" xfId="0" applyNumberFormat="1" applyAlignment="1">
      <alignment/>
    </xf>
    <xf numFmtId="0" fontId="0" fillId="4" borderId="0" xfId="0" applyFill="1" applyAlignment="1">
      <alignment/>
    </xf>
    <xf numFmtId="0" fontId="3" fillId="4" borderId="0" xfId="0" applyFont="1" applyFill="1" applyAlignment="1">
      <alignment horizontal="center"/>
    </xf>
    <xf numFmtId="0" fontId="0" fillId="3" borderId="0" xfId="0" applyFill="1" applyAlignment="1">
      <alignment/>
    </xf>
    <xf numFmtId="10" fontId="8" fillId="5" borderId="0" xfId="0" applyNumberFormat="1" applyFont="1" applyFill="1" applyAlignment="1">
      <alignment/>
    </xf>
    <xf numFmtId="10" fontId="0" fillId="6" borderId="0" xfId="0" applyNumberFormat="1" applyFill="1" applyAlignment="1">
      <alignment/>
    </xf>
    <xf numFmtId="10" fontId="0" fillId="7" borderId="0" xfId="0" applyNumberFormat="1" applyFill="1" applyAlignment="1">
      <alignment/>
    </xf>
    <xf numFmtId="6" fontId="0" fillId="4" borderId="0" xfId="0" applyNumberFormat="1" applyFill="1" applyAlignment="1">
      <alignment/>
    </xf>
    <xf numFmtId="42" fontId="2" fillId="4" borderId="8" xfId="17" applyNumberFormat="1" applyFont="1" applyFill="1" applyBorder="1" applyAlignment="1">
      <alignment/>
    </xf>
    <xf numFmtId="42" fontId="2" fillId="4" borderId="8" xfId="0" applyNumberFormat="1" applyFont="1" applyFill="1" applyBorder="1" applyAlignment="1">
      <alignment/>
    </xf>
    <xf numFmtId="44" fontId="9" fillId="0" borderId="0" xfId="0" applyNumberFormat="1" applyFont="1" applyAlignment="1">
      <alignment/>
    </xf>
    <xf numFmtId="10" fontId="3" fillId="0" borderId="0" xfId="0" applyNumberFormat="1" applyFont="1" applyAlignment="1">
      <alignment/>
    </xf>
    <xf numFmtId="0" fontId="3" fillId="0" borderId="0" xfId="0" applyFont="1" applyAlignment="1">
      <alignment/>
    </xf>
    <xf numFmtId="0" fontId="3" fillId="4" borderId="4" xfId="0" applyFont="1" applyFill="1" applyBorder="1" applyAlignment="1">
      <alignment/>
    </xf>
    <xf numFmtId="5" fontId="3" fillId="4" borderId="8" xfId="17" applyNumberFormat="1" applyFont="1" applyFill="1" applyBorder="1" applyAlignment="1">
      <alignment/>
    </xf>
    <xf numFmtId="0" fontId="3" fillId="4" borderId="4" xfId="0" applyFont="1" applyFill="1" applyBorder="1" applyAlignment="1">
      <alignment horizontal="center"/>
    </xf>
    <xf numFmtId="5" fontId="3" fillId="4" borderId="8" xfId="0" applyNumberFormat="1" applyFont="1" applyFill="1" applyBorder="1" applyAlignment="1">
      <alignment/>
    </xf>
    <xf numFmtId="0" fontId="3" fillId="4" borderId="3" xfId="0" applyFont="1" applyFill="1" applyBorder="1" applyAlignment="1">
      <alignment horizontal="center"/>
    </xf>
    <xf numFmtId="0" fontId="0" fillId="3" borderId="1" xfId="0" applyFont="1" applyFill="1" applyBorder="1" applyAlignment="1">
      <alignment horizontal="center"/>
    </xf>
    <xf numFmtId="9" fontId="0" fillId="3" borderId="1" xfId="21" applyFont="1" applyFill="1" applyBorder="1" applyAlignment="1">
      <alignment horizontal="center"/>
    </xf>
    <xf numFmtId="0" fontId="2" fillId="2" borderId="0" xfId="0" applyFont="1" applyFill="1" applyBorder="1" applyAlignment="1">
      <alignment horizontal="center"/>
    </xf>
    <xf numFmtId="10" fontId="4" fillId="2" borderId="0" xfId="21" applyNumberFormat="1" applyFont="1" applyFill="1" applyAlignment="1">
      <alignment horizontal="center"/>
    </xf>
    <xf numFmtId="0" fontId="0" fillId="0" borderId="1" xfId="0" applyBorder="1" applyAlignment="1">
      <alignment/>
    </xf>
    <xf numFmtId="9" fontId="0" fillId="0" borderId="9" xfId="21" applyBorder="1" applyAlignment="1">
      <alignment horizontal="center"/>
    </xf>
    <xf numFmtId="0" fontId="2" fillId="2" borderId="0" xfId="0" applyFont="1" applyFill="1" applyAlignment="1">
      <alignment horizontal="center"/>
    </xf>
    <xf numFmtId="0" fontId="5" fillId="2" borderId="0" xfId="0" applyFont="1" applyFill="1" applyBorder="1" applyAlignment="1">
      <alignment horizontal="center"/>
    </xf>
    <xf numFmtId="10" fontId="5" fillId="2" borderId="0" xfId="0" applyNumberFormat="1" applyFont="1" applyFill="1" applyBorder="1" applyAlignment="1">
      <alignment horizontal="center"/>
    </xf>
    <xf numFmtId="0" fontId="10" fillId="3" borderId="10" xfId="0" applyFont="1" applyFill="1" applyBorder="1" applyAlignment="1">
      <alignment/>
    </xf>
    <xf numFmtId="0" fontId="0" fillId="3" borderId="11" xfId="0" applyFill="1" applyBorder="1" applyAlignment="1">
      <alignment/>
    </xf>
    <xf numFmtId="5" fontId="3" fillId="3" borderId="3" xfId="0" applyNumberFormat="1" applyFont="1" applyFill="1" applyBorder="1" applyAlignment="1">
      <alignment/>
    </xf>
    <xf numFmtId="0" fontId="0" fillId="0" borderId="0" xfId="0" applyAlignment="1">
      <alignment horizontal="right"/>
    </xf>
    <xf numFmtId="44" fontId="3" fillId="0" borderId="0" xfId="17" applyFont="1" applyAlignment="1">
      <alignment horizontal="center"/>
    </xf>
    <xf numFmtId="44" fontId="3" fillId="0" borderId="0" xfId="0" applyNumberFormat="1" applyFont="1" applyAlignment="1">
      <alignment horizontal="center"/>
    </xf>
    <xf numFmtId="10" fontId="3" fillId="0" borderId="0" xfId="0" applyNumberFormat="1" applyFont="1" applyAlignment="1">
      <alignment horizontal="center"/>
    </xf>
    <xf numFmtId="0" fontId="2" fillId="14" borderId="6" xfId="0" applyFont="1" applyFill="1" applyBorder="1" applyAlignment="1">
      <alignment horizontal="center"/>
    </xf>
    <xf numFmtId="175" fontId="2" fillId="0" borderId="0" xfId="0" applyNumberFormat="1" applyFont="1" applyAlignment="1">
      <alignment horizontal="center"/>
    </xf>
    <xf numFmtId="3" fontId="0" fillId="0" borderId="0" xfId="0" applyNumberFormat="1" applyAlignment="1">
      <alignment/>
    </xf>
    <xf numFmtId="174" fontId="0" fillId="0" borderId="0" xfId="0" applyNumberFormat="1" applyAlignment="1">
      <alignment horizontal="center"/>
    </xf>
    <xf numFmtId="7" fontId="0" fillId="0" borderId="0" xfId="0" applyNumberFormat="1" applyFill="1" applyBorder="1" applyAlignment="1">
      <alignment horizontal="center"/>
    </xf>
    <xf numFmtId="0" fontId="2" fillId="14" borderId="5" xfId="0" applyFont="1" applyFill="1" applyBorder="1" applyAlignment="1">
      <alignment horizontal="center"/>
    </xf>
    <xf numFmtId="0" fontId="5" fillId="7" borderId="5" xfId="0" applyFont="1" applyFill="1" applyBorder="1" applyAlignment="1">
      <alignment horizontal="center"/>
    </xf>
    <xf numFmtId="0" fontId="5" fillId="5" borderId="5" xfId="0" applyFont="1" applyFill="1" applyBorder="1" applyAlignment="1">
      <alignment horizontal="center"/>
    </xf>
    <xf numFmtId="0" fontId="5" fillId="8" borderId="5" xfId="0" applyFont="1" applyFill="1" applyBorder="1" applyAlignment="1">
      <alignment horizontal="center"/>
    </xf>
    <xf numFmtId="0" fontId="7" fillId="11" borderId="5" xfId="0" applyFont="1" applyFill="1" applyBorder="1" applyAlignment="1">
      <alignment horizontal="center"/>
    </xf>
    <xf numFmtId="0" fontId="5" fillId="9" borderId="5" xfId="0" applyFont="1" applyFill="1" applyBorder="1" applyAlignment="1">
      <alignment horizontal="center"/>
    </xf>
    <xf numFmtId="0" fontId="5" fillId="12" borderId="5" xfId="0" applyFont="1" applyFill="1" applyBorder="1" applyAlignment="1">
      <alignment horizontal="center"/>
    </xf>
    <xf numFmtId="0" fontId="5" fillId="10" borderId="5" xfId="0" applyFont="1" applyFill="1" applyBorder="1" applyAlignment="1">
      <alignment horizontal="center"/>
    </xf>
    <xf numFmtId="0" fontId="2" fillId="13" borderId="5" xfId="0" applyFont="1" applyFill="1" applyBorder="1" applyAlignment="1">
      <alignment horizontal="center"/>
    </xf>
    <xf numFmtId="166" fontId="5" fillId="7" borderId="5" xfId="0" applyNumberFormat="1" applyFont="1" applyFill="1" applyBorder="1" applyAlignment="1">
      <alignment horizontal="center"/>
    </xf>
    <xf numFmtId="10" fontId="5" fillId="5" borderId="5" xfId="0" applyNumberFormat="1" applyFont="1" applyFill="1" applyBorder="1" applyAlignment="1">
      <alignment horizontal="center"/>
    </xf>
    <xf numFmtId="10" fontId="5" fillId="8" borderId="5" xfId="0" applyNumberFormat="1" applyFont="1" applyFill="1" applyBorder="1" applyAlignment="1">
      <alignment horizontal="center"/>
    </xf>
    <xf numFmtId="10" fontId="7" fillId="11" borderId="5" xfId="0" applyNumberFormat="1" applyFont="1" applyFill="1" applyBorder="1" applyAlignment="1">
      <alignment horizontal="center"/>
    </xf>
    <xf numFmtId="166" fontId="7" fillId="11" borderId="5" xfId="0" applyNumberFormat="1" applyFont="1" applyFill="1" applyBorder="1" applyAlignment="1">
      <alignment horizontal="center"/>
    </xf>
    <xf numFmtId="10" fontId="5" fillId="9" borderId="5" xfId="0" applyNumberFormat="1" applyFont="1" applyFill="1" applyBorder="1" applyAlignment="1">
      <alignment horizontal="center"/>
    </xf>
    <xf numFmtId="10" fontId="5" fillId="12" borderId="5" xfId="0" applyNumberFormat="1" applyFont="1" applyFill="1" applyBorder="1" applyAlignment="1">
      <alignment horizontal="center"/>
    </xf>
    <xf numFmtId="10" fontId="5" fillId="10" borderId="5" xfId="0" applyNumberFormat="1" applyFont="1" applyFill="1" applyBorder="1" applyAlignment="1">
      <alignment horizontal="center"/>
    </xf>
    <xf numFmtId="10" fontId="2" fillId="13" borderId="5" xfId="0" applyNumberFormat="1" applyFont="1" applyFill="1" applyBorder="1" applyAlignment="1">
      <alignment horizontal="center"/>
    </xf>
    <xf numFmtId="10" fontId="2" fillId="14" borderId="5" xfId="0" applyNumberFormat="1" applyFont="1" applyFill="1" applyBorder="1" applyAlignment="1">
      <alignment horizontal="center"/>
    </xf>
    <xf numFmtId="5" fontId="2" fillId="4" borderId="8" xfId="0" applyNumberFormat="1" applyFont="1" applyFill="1" applyBorder="1" applyAlignment="1">
      <alignment/>
    </xf>
    <xf numFmtId="5" fontId="0" fillId="2" borderId="12" xfId="0" applyNumberFormat="1" applyFont="1" applyFill="1" applyBorder="1" applyAlignment="1">
      <alignment/>
    </xf>
    <xf numFmtId="10" fontId="5" fillId="7" borderId="5"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0"/>
  <sheetViews>
    <sheetView workbookViewId="0" topLeftCell="A1">
      <selection activeCell="B13" sqref="B13"/>
    </sheetView>
  </sheetViews>
  <sheetFormatPr defaultColWidth="9.140625" defaultRowHeight="12.75"/>
  <sheetData>
    <row r="1" ht="12.75">
      <c r="A1" t="s">
        <v>51</v>
      </c>
    </row>
    <row r="3" ht="12.75">
      <c r="A3" t="s">
        <v>30</v>
      </c>
    </row>
    <row r="4" ht="12.75">
      <c r="B4" t="s">
        <v>52</v>
      </c>
    </row>
    <row r="6" ht="12.75">
      <c r="A6" t="s">
        <v>31</v>
      </c>
    </row>
    <row r="7" ht="12.75">
      <c r="B7" t="s">
        <v>32</v>
      </c>
    </row>
    <row r="9" ht="12.75">
      <c r="A9" t="s">
        <v>33</v>
      </c>
    </row>
    <row r="10" ht="12.75">
      <c r="B10" t="s">
        <v>34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28"/>
  <sheetViews>
    <sheetView workbookViewId="0" topLeftCell="E1">
      <selection activeCell="P27" sqref="P27"/>
    </sheetView>
  </sheetViews>
  <sheetFormatPr defaultColWidth="9.140625" defaultRowHeight="12.75"/>
  <cols>
    <col min="1" max="1" width="17.8515625" style="0" customWidth="1"/>
    <col min="2" max="2" width="18.00390625" style="0" customWidth="1"/>
    <col min="3" max="3" width="11.57421875" style="0" customWidth="1"/>
    <col min="4" max="4" width="14.8515625" style="0" customWidth="1"/>
    <col min="6" max="6" width="12.7109375" style="0" customWidth="1"/>
    <col min="8" max="8" width="14.8515625" style="0" customWidth="1"/>
    <col min="10" max="10" width="12.8515625" style="0" customWidth="1"/>
    <col min="12" max="12" width="15.140625" style="0" customWidth="1"/>
    <col min="13" max="13" width="10.140625" style="0" customWidth="1"/>
    <col min="14" max="14" width="12.421875" style="0" customWidth="1"/>
    <col min="16" max="16" width="10.57421875" style="0" customWidth="1"/>
    <col min="17" max="17" width="10.7109375" style="0" customWidth="1"/>
  </cols>
  <sheetData>
    <row r="1" ht="16.5" thickBot="1">
      <c r="A1" s="30" t="s">
        <v>0</v>
      </c>
    </row>
    <row r="3" spans="1:3" ht="15.75">
      <c r="A3" s="13" t="s">
        <v>2</v>
      </c>
      <c r="B3" s="88">
        <v>80000</v>
      </c>
      <c r="C3" s="22">
        <v>32508</v>
      </c>
    </row>
    <row r="4" spans="1:14" ht="15.75">
      <c r="A4" s="14" t="s">
        <v>11</v>
      </c>
      <c r="B4" s="138">
        <f>R28</f>
        <v>571112.201351967</v>
      </c>
      <c r="C4" s="22">
        <v>38717</v>
      </c>
      <c r="M4" s="56"/>
      <c r="N4" s="56"/>
    </row>
    <row r="5" spans="1:16" ht="15.75">
      <c r="A5" s="12" t="s">
        <v>15</v>
      </c>
      <c r="B5" s="18">
        <v>0.0018</v>
      </c>
      <c r="C5" s="17" t="s">
        <v>3</v>
      </c>
      <c r="D5" s="18">
        <v>0.0025</v>
      </c>
      <c r="E5" s="17" t="s">
        <v>3</v>
      </c>
      <c r="F5" s="18">
        <v>0.0025</v>
      </c>
      <c r="G5" s="17" t="s">
        <v>3</v>
      </c>
      <c r="H5" s="18">
        <v>0.0018</v>
      </c>
      <c r="I5" s="17" t="s">
        <v>3</v>
      </c>
      <c r="J5" s="18">
        <v>0.0025</v>
      </c>
      <c r="K5" s="17" t="s">
        <v>3</v>
      </c>
      <c r="L5" s="18">
        <v>0.0025</v>
      </c>
      <c r="M5" s="17" t="s">
        <v>3</v>
      </c>
      <c r="N5" s="18">
        <v>0.0035</v>
      </c>
      <c r="P5" s="57">
        <v>0.0035</v>
      </c>
    </row>
    <row r="6" ht="12.75">
      <c r="C6" t="s">
        <v>3</v>
      </c>
    </row>
    <row r="7" spans="1:20" ht="15.75">
      <c r="A7" s="16" t="s">
        <v>14</v>
      </c>
      <c r="C7" s="12">
        <v>6</v>
      </c>
      <c r="E7" s="12">
        <v>5</v>
      </c>
      <c r="G7" s="12">
        <v>7</v>
      </c>
      <c r="I7" s="12">
        <v>3</v>
      </c>
      <c r="K7" s="12">
        <v>2</v>
      </c>
      <c r="M7" s="12">
        <v>4</v>
      </c>
      <c r="O7" s="12">
        <v>8</v>
      </c>
      <c r="Q7" s="12">
        <v>1</v>
      </c>
      <c r="R7" s="15" t="s">
        <v>12</v>
      </c>
      <c r="T7" s="3" t="s">
        <v>1</v>
      </c>
    </row>
    <row r="8" spans="2:20" ht="12.75">
      <c r="B8" s="9" t="s">
        <v>17</v>
      </c>
      <c r="D8" s="9" t="s">
        <v>18</v>
      </c>
      <c r="F8" s="9" t="s">
        <v>19</v>
      </c>
      <c r="H8" s="9" t="s">
        <v>20</v>
      </c>
      <c r="J8" s="9" t="s">
        <v>21</v>
      </c>
      <c r="K8" s="102"/>
      <c r="L8" s="9" t="s">
        <v>22</v>
      </c>
      <c r="N8" s="9" t="s">
        <v>53</v>
      </c>
      <c r="P8" s="9" t="s">
        <v>44</v>
      </c>
      <c r="Q8" s="55"/>
      <c r="T8" s="3" t="s">
        <v>27</v>
      </c>
    </row>
    <row r="9" spans="1:17" ht="12.75">
      <c r="A9" s="4" t="s">
        <v>3</v>
      </c>
      <c r="B9" s="10" t="s">
        <v>5</v>
      </c>
      <c r="C9" t="s">
        <v>3</v>
      </c>
      <c r="D9" s="10" t="s">
        <v>5</v>
      </c>
      <c r="E9" t="s">
        <v>3</v>
      </c>
      <c r="F9" s="10" t="s">
        <v>5</v>
      </c>
      <c r="G9" t="s">
        <v>3</v>
      </c>
      <c r="H9" s="10" t="s">
        <v>5</v>
      </c>
      <c r="J9" s="10" t="s">
        <v>5</v>
      </c>
      <c r="L9" s="10" t="s">
        <v>5</v>
      </c>
      <c r="N9" s="10" t="s">
        <v>5</v>
      </c>
      <c r="P9" s="10" t="s">
        <v>5</v>
      </c>
      <c r="Q9" s="55"/>
    </row>
    <row r="10" spans="1:18" ht="12.75">
      <c r="A10" t="s">
        <v>2</v>
      </c>
      <c r="C10" s="71">
        <f>$B$3*1/8</f>
        <v>10000</v>
      </c>
      <c r="D10" s="1"/>
      <c r="E10" s="71">
        <f>$B$3*1/8</f>
        <v>10000</v>
      </c>
      <c r="F10" s="7" t="s">
        <v>3</v>
      </c>
      <c r="G10" s="71">
        <f>$B$3*1/8</f>
        <v>10000</v>
      </c>
      <c r="I10" s="71">
        <f>$B$3*1/8</f>
        <v>10000</v>
      </c>
      <c r="J10" t="s">
        <v>3</v>
      </c>
      <c r="K10" s="71">
        <f>$B$3*1/8</f>
        <v>10000</v>
      </c>
      <c r="L10" t="s">
        <v>3</v>
      </c>
      <c r="M10" s="74">
        <f>$B$3*1/8</f>
        <v>10000</v>
      </c>
      <c r="N10" t="s">
        <v>3</v>
      </c>
      <c r="O10" s="74">
        <f>$B$3*1/8</f>
        <v>10000</v>
      </c>
      <c r="Q10" s="74">
        <f>$B$3*1/8</f>
        <v>10000</v>
      </c>
      <c r="R10" s="75">
        <f>SUM(C10,E10,G10,I10,K10,M10,O10,Q10)</f>
        <v>80000</v>
      </c>
    </row>
    <row r="11" spans="1:20" ht="12.75">
      <c r="A11">
        <v>1989</v>
      </c>
      <c r="B11" s="19">
        <f>0.359-$B$5</f>
        <v>0.35719999999999996</v>
      </c>
      <c r="C11" s="71">
        <f aca="true" t="shared" si="0" ref="C11:C27">C10*(1+B11)</f>
        <v>13572</v>
      </c>
      <c r="D11" s="19">
        <f>31.48%-$D$5</f>
        <v>0.3123</v>
      </c>
      <c r="E11" s="71">
        <f aca="true" t="shared" si="1" ref="E11:E27">E10*(1+D11)</f>
        <v>13123</v>
      </c>
      <c r="F11" s="19">
        <f>20.19%-$F$5</f>
        <v>0.19940000000000002</v>
      </c>
      <c r="G11" s="71">
        <f aca="true" t="shared" si="2" ref="G11:G27">G10*(1+F11)</f>
        <v>11994</v>
      </c>
      <c r="H11" s="20">
        <f>25.21%-$H$5</f>
        <v>0.25029999999999997</v>
      </c>
      <c r="I11" s="71">
        <f aca="true" t="shared" si="3" ref="I11:I27">I10*(1+H11)</f>
        <v>12503</v>
      </c>
      <c r="J11" s="21">
        <f>22.69%-$J$5</f>
        <v>0.22440000000000002</v>
      </c>
      <c r="K11" s="71">
        <f aca="true" t="shared" si="4" ref="K11:K27">K10*(1+J11)</f>
        <v>12244</v>
      </c>
      <c r="L11" s="21">
        <f>12.42%-$L$5</f>
        <v>0.1217</v>
      </c>
      <c r="M11" s="74">
        <f aca="true" t="shared" si="5" ref="M11:M27">M10*(1+L11)</f>
        <v>11217</v>
      </c>
      <c r="N11" s="21">
        <f>10.8%-$N$5</f>
        <v>0.10450000000000001</v>
      </c>
      <c r="O11" s="74">
        <f aca="true" t="shared" si="6" ref="O11:O27">O10*(1+N11)</f>
        <v>11045</v>
      </c>
      <c r="P11" s="64">
        <f>8.84%-$P$5</f>
        <v>0.08489999999999999</v>
      </c>
      <c r="Q11" s="74">
        <f aca="true" t="shared" si="7" ref="Q11:Q27">Q10*(1+P11)</f>
        <v>10849</v>
      </c>
      <c r="R11" s="75">
        <f aca="true" t="shared" si="8" ref="R11:R27">SUM(C11,E11,G11,I11,K11,M11,O11,Q11)</f>
        <v>96547</v>
      </c>
      <c r="T11" s="29">
        <f aca="true" t="shared" si="9" ref="T11:T27">(R11-R10)/R10</f>
        <v>0.2068375</v>
      </c>
    </row>
    <row r="12" spans="1:20" ht="12.75">
      <c r="A12">
        <v>1990</v>
      </c>
      <c r="B12" s="19">
        <f>-0.0026-$B$5</f>
        <v>-0.004399999999999999</v>
      </c>
      <c r="C12" s="71">
        <f t="shared" si="0"/>
        <v>13512.2832</v>
      </c>
      <c r="D12" s="19">
        <f>-5.1%-$D$5</f>
        <v>-0.0535</v>
      </c>
      <c r="E12" s="71">
        <f t="shared" si="1"/>
        <v>12420.9195</v>
      </c>
      <c r="F12" s="19">
        <f>-17.42%-$F$5</f>
        <v>-0.17670000000000002</v>
      </c>
      <c r="G12" s="71">
        <f t="shared" si="2"/>
        <v>9874.660199999998</v>
      </c>
      <c r="H12" s="20">
        <f>-8.1%-$H$5</f>
        <v>-0.0828</v>
      </c>
      <c r="I12" s="71">
        <f t="shared" si="3"/>
        <v>11467.7516</v>
      </c>
      <c r="J12" s="21">
        <f>-16.08%-$J$5</f>
        <v>-0.16329999999999997</v>
      </c>
      <c r="K12" s="71">
        <f t="shared" si="4"/>
        <v>10244.5548</v>
      </c>
      <c r="L12" s="21">
        <f>-22.77%-$L$5</f>
        <v>-0.2302</v>
      </c>
      <c r="M12" s="71">
        <f t="shared" si="5"/>
        <v>8634.8466</v>
      </c>
      <c r="N12" s="21">
        <f>-23.2%-$N$5</f>
        <v>-0.2355</v>
      </c>
      <c r="O12" s="71">
        <f t="shared" si="6"/>
        <v>8443.9025</v>
      </c>
      <c r="P12" s="65">
        <f>-15.34%-$P$5</f>
        <v>-0.1569</v>
      </c>
      <c r="Q12" s="71">
        <f t="shared" si="7"/>
        <v>9146.7919</v>
      </c>
      <c r="R12" s="75">
        <f t="shared" si="8"/>
        <v>83745.71029999999</v>
      </c>
      <c r="T12" s="29">
        <f t="shared" si="9"/>
        <v>-0.1325912736801766</v>
      </c>
    </row>
    <row r="13" spans="1:20" ht="12.75">
      <c r="A13">
        <v>1991</v>
      </c>
      <c r="B13" s="19">
        <f>0.412-$B$5</f>
        <v>0.41019999999999995</v>
      </c>
      <c r="C13" s="71">
        <f t="shared" si="0"/>
        <v>19055.02176864</v>
      </c>
      <c r="D13" s="19">
        <f>47%-$D$5</f>
        <v>0.46749999999999997</v>
      </c>
      <c r="E13" s="71">
        <f t="shared" si="1"/>
        <v>18227.69936625</v>
      </c>
      <c r="F13" s="19">
        <f>51.2%-$F$5</f>
        <v>0.5095000000000001</v>
      </c>
      <c r="G13" s="71">
        <f t="shared" si="2"/>
        <v>14905.7995719</v>
      </c>
      <c r="H13" s="20">
        <f>24.6%-$H$5</f>
        <v>0.24420000000000003</v>
      </c>
      <c r="I13" s="71">
        <f t="shared" si="3"/>
        <v>14268.17654072</v>
      </c>
      <c r="J13" s="21">
        <f>37.9%-$J$5</f>
        <v>0.3765</v>
      </c>
      <c r="K13" s="71">
        <f t="shared" si="4"/>
        <v>14101.6296822</v>
      </c>
      <c r="L13" s="21">
        <f>41.7%-$L$5</f>
        <v>0.41450000000000004</v>
      </c>
      <c r="M13" s="71">
        <f t="shared" si="5"/>
        <v>12213.990515700001</v>
      </c>
      <c r="N13" s="21">
        <f>12.5%-$N$5</f>
        <v>0.1215</v>
      </c>
      <c r="O13" s="71">
        <f t="shared" si="6"/>
        <v>9469.83665375</v>
      </c>
      <c r="P13" s="65">
        <f>35.7%-$P$5</f>
        <v>0.35350000000000004</v>
      </c>
      <c r="Q13" s="71">
        <f t="shared" si="7"/>
        <v>12380.18283665</v>
      </c>
      <c r="R13" s="75">
        <f t="shared" si="8"/>
        <v>114622.33693581</v>
      </c>
      <c r="T13" s="29">
        <f t="shared" si="9"/>
        <v>0.3686950236042122</v>
      </c>
    </row>
    <row r="14" spans="1:20" ht="12.75">
      <c r="A14">
        <f aca="true" t="shared" si="10" ref="A14:A26">A13+1</f>
        <v>1992</v>
      </c>
      <c r="B14" s="20">
        <f>5%-$B$5</f>
        <v>0.0482</v>
      </c>
      <c r="C14" s="71">
        <f t="shared" si="0"/>
        <v>19973.473817888447</v>
      </c>
      <c r="D14" s="19">
        <f>8.7%-$D$5</f>
        <v>0.08449999999999999</v>
      </c>
      <c r="E14" s="71">
        <f t="shared" si="1"/>
        <v>19767.939962698125</v>
      </c>
      <c r="F14" s="19">
        <f>7.8%-$F$5</f>
        <v>0.0755</v>
      </c>
      <c r="G14" s="71">
        <f t="shared" si="2"/>
        <v>16031.187439578447</v>
      </c>
      <c r="H14" s="20">
        <f>13.8%-$H$5</f>
        <v>0.13620000000000002</v>
      </c>
      <c r="I14" s="71">
        <f t="shared" si="3"/>
        <v>16211.502185566065</v>
      </c>
      <c r="J14" s="21">
        <f>21.68%-$J$5</f>
        <v>0.2143</v>
      </c>
      <c r="K14" s="71">
        <f t="shared" si="4"/>
        <v>17123.60892309546</v>
      </c>
      <c r="L14" s="21">
        <f>29.2%-$L$5</f>
        <v>0.2895</v>
      </c>
      <c r="M14" s="71">
        <f t="shared" si="5"/>
        <v>15749.94076999515</v>
      </c>
      <c r="N14" s="21">
        <f>-11.9%-$N$5</f>
        <v>-0.12250000000000001</v>
      </c>
      <c r="O14" s="71">
        <f t="shared" si="6"/>
        <v>8309.781663665624</v>
      </c>
      <c r="P14" s="65">
        <f>14.59%-$P$5</f>
        <v>0.1424</v>
      </c>
      <c r="Q14" s="71">
        <f t="shared" si="7"/>
        <v>14143.120872588961</v>
      </c>
      <c r="R14" s="75">
        <f t="shared" si="8"/>
        <v>127310.55563507628</v>
      </c>
      <c r="T14" s="29">
        <f t="shared" si="9"/>
        <v>0.11069586468448853</v>
      </c>
    </row>
    <row r="15" spans="1:20" ht="12.75">
      <c r="A15">
        <f t="shared" si="10"/>
        <v>1993</v>
      </c>
      <c r="B15" s="20">
        <f>2.9%-$B$5</f>
        <v>0.0272</v>
      </c>
      <c r="C15" s="71">
        <f t="shared" si="0"/>
        <v>20516.75230573501</v>
      </c>
      <c r="D15" s="19">
        <f>11.2%-$D$5</f>
        <v>0.10949999999999999</v>
      </c>
      <c r="E15" s="71">
        <f t="shared" si="1"/>
        <v>21932.52938861357</v>
      </c>
      <c r="F15" s="19">
        <f>13.4%-$F$5</f>
        <v>0.1315</v>
      </c>
      <c r="G15" s="71">
        <f t="shared" si="2"/>
        <v>18139.288587883013</v>
      </c>
      <c r="H15" s="20">
        <f>18.1%-$H$5</f>
        <v>0.17920000000000003</v>
      </c>
      <c r="I15" s="71">
        <f t="shared" si="3"/>
        <v>19116.603377219504</v>
      </c>
      <c r="J15" s="21">
        <f>15.6%-$J$5</f>
        <v>0.1535</v>
      </c>
      <c r="K15" s="71">
        <f t="shared" si="4"/>
        <v>19752.08289279061</v>
      </c>
      <c r="L15" s="21">
        <f>23.9%-$L$5</f>
        <v>0.2365</v>
      </c>
      <c r="M15" s="71">
        <f t="shared" si="5"/>
        <v>19474.801762099003</v>
      </c>
      <c r="N15" s="21">
        <f>32.9%-$N$5</f>
        <v>0.32549999999999996</v>
      </c>
      <c r="O15" s="71">
        <f t="shared" si="6"/>
        <v>11014.615595188785</v>
      </c>
      <c r="P15" s="65">
        <f>19.65%-$P$5</f>
        <v>0.19299999999999998</v>
      </c>
      <c r="Q15" s="71">
        <f t="shared" si="7"/>
        <v>16872.74320099863</v>
      </c>
      <c r="R15" s="75">
        <f t="shared" si="8"/>
        <v>146819.41711052813</v>
      </c>
      <c r="T15" s="29">
        <f t="shared" si="9"/>
        <v>0.1532383656495237</v>
      </c>
    </row>
    <row r="16" spans="1:20" ht="12.75">
      <c r="A16">
        <f t="shared" si="10"/>
        <v>1994</v>
      </c>
      <c r="B16" s="20">
        <f>2.6%-$B$5</f>
        <v>0.024200000000000003</v>
      </c>
      <c r="C16" s="71">
        <f t="shared" si="0"/>
        <v>21013.2577115338</v>
      </c>
      <c r="D16" s="19">
        <f>-2.2%-$D$5</f>
        <v>-0.0245</v>
      </c>
      <c r="E16" s="71">
        <f t="shared" si="1"/>
        <v>21395.182418592536</v>
      </c>
      <c r="F16" s="19">
        <f>-2.4%-$F$5</f>
        <v>-0.0265</v>
      </c>
      <c r="G16" s="71">
        <f t="shared" si="2"/>
        <v>17658.597440304115</v>
      </c>
      <c r="H16" s="20">
        <f>-2%-$H$5</f>
        <v>-0.0218</v>
      </c>
      <c r="I16" s="71">
        <f t="shared" si="3"/>
        <v>18699.861423596118</v>
      </c>
      <c r="J16" s="21">
        <f>-2.1%-$J$5</f>
        <v>-0.0235</v>
      </c>
      <c r="K16" s="71">
        <f t="shared" si="4"/>
        <v>19287.90894481003</v>
      </c>
      <c r="L16" s="21">
        <f>-1.5%-$L$5</f>
        <v>-0.017499999999999998</v>
      </c>
      <c r="M16" s="71">
        <f t="shared" si="5"/>
        <v>19133.99273126227</v>
      </c>
      <c r="N16" s="21">
        <f>8.1%-$N$5</f>
        <v>0.0775</v>
      </c>
      <c r="O16" s="71">
        <f t="shared" si="6"/>
        <v>11868.248303815915</v>
      </c>
      <c r="P16" s="65">
        <f>3.17%-$P$5</f>
        <v>0.0282</v>
      </c>
      <c r="Q16" s="71">
        <f t="shared" si="7"/>
        <v>17348.55455926679</v>
      </c>
      <c r="R16" s="75">
        <f t="shared" si="8"/>
        <v>146405.60353318157</v>
      </c>
      <c r="T16" s="29">
        <f t="shared" si="9"/>
        <v>-0.0028185207753211286</v>
      </c>
    </row>
    <row r="17" spans="1:20" ht="12.75">
      <c r="A17">
        <f t="shared" si="10"/>
        <v>1995</v>
      </c>
      <c r="B17" s="20">
        <f>37.2%-$B$5</f>
        <v>0.37020000000000003</v>
      </c>
      <c r="C17" s="71">
        <f t="shared" si="0"/>
        <v>28792.365716343615</v>
      </c>
      <c r="D17" s="19">
        <f>34%-$D$5</f>
        <v>0.3375</v>
      </c>
      <c r="E17" s="71">
        <f t="shared" si="1"/>
        <v>28616.056484867517</v>
      </c>
      <c r="F17" s="19">
        <f>31%-$F$5</f>
        <v>0.3075</v>
      </c>
      <c r="G17" s="71">
        <f t="shared" si="2"/>
        <v>23088.616153197632</v>
      </c>
      <c r="H17" s="20">
        <f>38.4%-$H$5</f>
        <v>0.3822</v>
      </c>
      <c r="I17" s="71">
        <f t="shared" si="3"/>
        <v>25846.948459694555</v>
      </c>
      <c r="J17" s="21">
        <f>34.9%-$J$5</f>
        <v>0.3465</v>
      </c>
      <c r="K17" s="71">
        <f t="shared" si="4"/>
        <v>25971.16939418671</v>
      </c>
      <c r="L17" s="21">
        <f>25.8%-$L$5</f>
        <v>0.2555</v>
      </c>
      <c r="M17" s="71">
        <f t="shared" si="5"/>
        <v>24022.727874099783</v>
      </c>
      <c r="N17" s="21">
        <f>11.6%-$N$5</f>
        <v>0.11249999999999999</v>
      </c>
      <c r="O17" s="71">
        <f t="shared" si="6"/>
        <v>13203.426237995207</v>
      </c>
      <c r="P17" s="65">
        <f>15.27%-$P$5</f>
        <v>0.1492</v>
      </c>
      <c r="Q17" s="71">
        <f t="shared" si="7"/>
        <v>19936.958899509398</v>
      </c>
      <c r="R17" s="75">
        <f t="shared" si="8"/>
        <v>189478.2692198944</v>
      </c>
      <c r="T17" s="29">
        <f t="shared" si="9"/>
        <v>0.29420093662569946</v>
      </c>
    </row>
    <row r="18" spans="1:20" ht="12.75">
      <c r="A18">
        <f t="shared" si="10"/>
        <v>1996</v>
      </c>
      <c r="B18" s="20">
        <f>23.1%-$B$5</f>
        <v>0.22920000000000001</v>
      </c>
      <c r="C18" s="71">
        <f t="shared" si="0"/>
        <v>35391.575938529575</v>
      </c>
      <c r="D18" s="19">
        <f>17.5%-$D$5</f>
        <v>0.1725</v>
      </c>
      <c r="E18" s="71">
        <f t="shared" si="1"/>
        <v>33552.32622850716</v>
      </c>
      <c r="F18" s="19">
        <f>11.3%-$F$5</f>
        <v>0.1105</v>
      </c>
      <c r="G18" s="71">
        <f t="shared" si="2"/>
        <v>25639.908238125972</v>
      </c>
      <c r="H18" s="20">
        <f>21.6%-$H$5</f>
        <v>0.21420000000000003</v>
      </c>
      <c r="I18" s="71">
        <f t="shared" si="3"/>
        <v>31383.364819761126</v>
      </c>
      <c r="J18" s="21">
        <f>20.3%-$J$5</f>
        <v>0.2005</v>
      </c>
      <c r="K18" s="71">
        <f t="shared" si="4"/>
        <v>31178.38885772114</v>
      </c>
      <c r="L18" s="21">
        <f>21.4%-$L$5</f>
        <v>0.2115</v>
      </c>
      <c r="M18" s="71">
        <f t="shared" si="5"/>
        <v>29103.534819471886</v>
      </c>
      <c r="N18" s="21">
        <f>6.4%-$N$5</f>
        <v>0.0605</v>
      </c>
      <c r="O18" s="71">
        <f t="shared" si="6"/>
        <v>14002.233525393916</v>
      </c>
      <c r="P18" s="65">
        <f>35.27%-$P$5</f>
        <v>0.3492</v>
      </c>
      <c r="Q18" s="71">
        <f t="shared" si="7"/>
        <v>26898.94494721808</v>
      </c>
      <c r="R18" s="75">
        <f t="shared" si="8"/>
        <v>227150.27737472887</v>
      </c>
      <c r="T18" s="29">
        <f t="shared" si="9"/>
        <v>0.19881967631399008</v>
      </c>
    </row>
    <row r="19" spans="1:20" ht="12.75">
      <c r="A19">
        <f t="shared" si="10"/>
        <v>1997</v>
      </c>
      <c r="B19" s="20">
        <f>30.5%-$B$5</f>
        <v>0.30319999999999997</v>
      </c>
      <c r="C19" s="71">
        <f t="shared" si="0"/>
        <v>46122.30176309174</v>
      </c>
      <c r="D19" s="19">
        <f>22.5%-$D$5</f>
        <v>0.2225</v>
      </c>
      <c r="E19" s="71">
        <f t="shared" si="1"/>
        <v>41017.71881435</v>
      </c>
      <c r="F19" s="19">
        <f>13%-$F$5</f>
        <v>0.1275</v>
      </c>
      <c r="G19" s="71">
        <f t="shared" si="2"/>
        <v>28908.996538487034</v>
      </c>
      <c r="H19" s="20">
        <f>35.2%-$H$5</f>
        <v>0.3502</v>
      </c>
      <c r="I19" s="71">
        <f t="shared" si="3"/>
        <v>42373.819179641476</v>
      </c>
      <c r="J19" s="21">
        <f>34.4%-$J$5</f>
        <v>0.34149999999999997</v>
      </c>
      <c r="K19" s="71">
        <f t="shared" si="4"/>
        <v>41825.808652632906</v>
      </c>
      <c r="L19" s="21">
        <f>31.8%-$L$5</f>
        <v>0.3155</v>
      </c>
      <c r="M19" s="71">
        <f t="shared" si="5"/>
        <v>38285.700055015266</v>
      </c>
      <c r="N19" s="21">
        <f>2.1%-$N$5</f>
        <v>0.0175</v>
      </c>
      <c r="O19" s="71">
        <f t="shared" si="6"/>
        <v>14247.27261208831</v>
      </c>
      <c r="P19" s="65">
        <f>20.26%-$P$5</f>
        <v>0.1991</v>
      </c>
      <c r="Q19" s="71">
        <f t="shared" si="7"/>
        <v>32254.5248862092</v>
      </c>
      <c r="R19" s="75">
        <f t="shared" si="8"/>
        <v>285036.1425015159</v>
      </c>
      <c r="T19" s="29">
        <f t="shared" si="9"/>
        <v>0.25483510650217245</v>
      </c>
    </row>
    <row r="20" spans="1:20" ht="12.75">
      <c r="A20">
        <f t="shared" si="10"/>
        <v>1998</v>
      </c>
      <c r="B20" s="20">
        <f>38.7%-$B$5</f>
        <v>0.3852</v>
      </c>
      <c r="C20" s="71">
        <f t="shared" si="0"/>
        <v>63888.61240223468</v>
      </c>
      <c r="D20" s="19">
        <f>17.9%-$D$5</f>
        <v>0.1765</v>
      </c>
      <c r="E20" s="71">
        <f t="shared" si="1"/>
        <v>48257.34618508277</v>
      </c>
      <c r="F20" s="19">
        <f>1.2%-$F$5</f>
        <v>0.0095</v>
      </c>
      <c r="G20" s="71">
        <f t="shared" si="2"/>
        <v>29183.632005602663</v>
      </c>
      <c r="H20" s="20">
        <f>15.6%-$H$5</f>
        <v>0.1542</v>
      </c>
      <c r="I20" s="71">
        <f t="shared" si="3"/>
        <v>48907.862097142184</v>
      </c>
      <c r="J20" s="21">
        <f>5.1%-$J$5</f>
        <v>0.048499999999999995</v>
      </c>
      <c r="K20" s="71">
        <f t="shared" si="4"/>
        <v>43854.3603722856</v>
      </c>
      <c r="L20" s="21">
        <f>-6.5%-$L$5</f>
        <v>-0.0675</v>
      </c>
      <c r="M20" s="71">
        <f t="shared" si="5"/>
        <v>35701.415301301735</v>
      </c>
      <c r="N20" s="21">
        <f>20.3%-$N$5</f>
        <v>0.1995</v>
      </c>
      <c r="O20" s="71">
        <f t="shared" si="6"/>
        <v>17089.60349819993</v>
      </c>
      <c r="P20" s="65">
        <f>-17.5%-$P$5</f>
        <v>-0.1785</v>
      </c>
      <c r="Q20" s="71">
        <f t="shared" si="7"/>
        <v>26497.092194020857</v>
      </c>
      <c r="R20" s="75">
        <f t="shared" si="8"/>
        <v>313379.92405587045</v>
      </c>
      <c r="T20" s="29">
        <f t="shared" si="9"/>
        <v>0.09943925463488823</v>
      </c>
    </row>
    <row r="21" spans="1:20" ht="12.75">
      <c r="A21">
        <f t="shared" si="10"/>
        <v>1999</v>
      </c>
      <c r="B21" s="20">
        <f>33.2%-$B$5</f>
        <v>0.3302</v>
      </c>
      <c r="C21" s="71">
        <f t="shared" si="0"/>
        <v>84984.63221745257</v>
      </c>
      <c r="D21" s="19">
        <f>51.3%-$D$5</f>
        <v>0.5105000000000001</v>
      </c>
      <c r="E21" s="71">
        <f t="shared" si="1"/>
        <v>72892.72141256752</v>
      </c>
      <c r="F21" s="19">
        <f>43.1%-$F$5</f>
        <v>0.4285</v>
      </c>
      <c r="G21" s="71">
        <f t="shared" si="2"/>
        <v>41688.81832000341</v>
      </c>
      <c r="H21" s="20">
        <f>7.4%-$H$5</f>
        <v>0.07220000000000001</v>
      </c>
      <c r="I21" s="71">
        <f t="shared" si="3"/>
        <v>52439.009740555855</v>
      </c>
      <c r="J21" s="21">
        <f>-0.1%-$J$5</f>
        <v>-0.0035</v>
      </c>
      <c r="K21" s="71">
        <f t="shared" si="4"/>
        <v>43700.8701109826</v>
      </c>
      <c r="L21" s="21">
        <f>-1.5%-$L$5</f>
        <v>-0.017499999999999998</v>
      </c>
      <c r="M21" s="71">
        <f t="shared" si="5"/>
        <v>35076.64053352895</v>
      </c>
      <c r="N21" s="21">
        <f>27.3%-$N$5</f>
        <v>0.2695</v>
      </c>
      <c r="O21" s="71">
        <f t="shared" si="6"/>
        <v>21695.251640964812</v>
      </c>
      <c r="P21" s="65">
        <f>-4.62%-$P$5</f>
        <v>-0.0497</v>
      </c>
      <c r="Q21" s="71">
        <f t="shared" si="7"/>
        <v>25180.18671197802</v>
      </c>
      <c r="R21" s="75">
        <f t="shared" si="8"/>
        <v>377658.13068803377</v>
      </c>
      <c r="T21" s="29">
        <f t="shared" si="9"/>
        <v>0.2051127136679744</v>
      </c>
    </row>
    <row r="22" spans="1:20" ht="12.75">
      <c r="A22">
        <f t="shared" si="10"/>
        <v>2000</v>
      </c>
      <c r="B22" s="20">
        <f>-22.4%-$B$5</f>
        <v>-0.22579999999999997</v>
      </c>
      <c r="C22" s="71">
        <f t="shared" si="0"/>
        <v>65795.10226275178</v>
      </c>
      <c r="D22" s="19">
        <f>-11.8%-$D$5</f>
        <v>-0.12050000000000001</v>
      </c>
      <c r="E22" s="71">
        <f t="shared" si="1"/>
        <v>64109.148482353135</v>
      </c>
      <c r="F22" s="19">
        <f>-22.4%-$F$5</f>
        <v>-0.22649999999999998</v>
      </c>
      <c r="G22" s="71">
        <f t="shared" si="2"/>
        <v>32246.300970522643</v>
      </c>
      <c r="H22" s="20">
        <f>7%-$H$5</f>
        <v>0.06820000000000001</v>
      </c>
      <c r="I22" s="71">
        <f t="shared" si="3"/>
        <v>56015.35020486177</v>
      </c>
      <c r="J22" s="21">
        <f>19.2%-$J$5</f>
        <v>0.1895</v>
      </c>
      <c r="K22" s="71">
        <f t="shared" si="4"/>
        <v>51982.1849970138</v>
      </c>
      <c r="L22" s="21">
        <f>22.8%-$L$5</f>
        <v>0.2255</v>
      </c>
      <c r="M22" s="71">
        <f t="shared" si="5"/>
        <v>42986.42297383973</v>
      </c>
      <c r="N22" s="21">
        <f>-14%-$N$5</f>
        <v>-0.14350000000000002</v>
      </c>
      <c r="O22" s="71">
        <f t="shared" si="6"/>
        <v>18581.983030486364</v>
      </c>
      <c r="P22" s="65">
        <f>26.37%-$P$5</f>
        <v>0.2602</v>
      </c>
      <c r="Q22" s="71">
        <f t="shared" si="7"/>
        <v>31732.071294434703</v>
      </c>
      <c r="R22" s="75">
        <f t="shared" si="8"/>
        <v>363448.564216264</v>
      </c>
      <c r="T22" s="29">
        <f t="shared" si="9"/>
        <v>-0.03762547478027858</v>
      </c>
    </row>
    <row r="23" spans="1:20" ht="12.75">
      <c r="A23">
        <f t="shared" si="10"/>
        <v>2001</v>
      </c>
      <c r="B23" s="20">
        <f>-20.4%-$B$5</f>
        <v>-0.20579999999999998</v>
      </c>
      <c r="C23" s="71">
        <f t="shared" si="0"/>
        <v>52254.47021707747</v>
      </c>
      <c r="D23" s="19">
        <f>-20.2%-$D$5</f>
        <v>-0.2045</v>
      </c>
      <c r="E23" s="71">
        <f t="shared" si="1"/>
        <v>50998.82761771192</v>
      </c>
      <c r="F23" s="19">
        <f>-9.2%-$F$5</f>
        <v>-0.0945</v>
      </c>
      <c r="G23" s="71">
        <f t="shared" si="2"/>
        <v>29199.02552880825</v>
      </c>
      <c r="H23" s="20">
        <f>-5.6%-$H$5</f>
        <v>-0.0578</v>
      </c>
      <c r="I23" s="71">
        <f t="shared" si="3"/>
        <v>52777.66296302076</v>
      </c>
      <c r="J23" s="21">
        <f>2.3%-$J$5</f>
        <v>0.0205</v>
      </c>
      <c r="K23" s="71">
        <f t="shared" si="4"/>
        <v>53047.81978945258</v>
      </c>
      <c r="L23" s="21">
        <f>14%-$L$5</f>
        <v>0.1375</v>
      </c>
      <c r="M23" s="71">
        <f t="shared" si="5"/>
        <v>48897.0561327427</v>
      </c>
      <c r="N23" s="21">
        <f>-21.2%-$N$5</f>
        <v>-0.2155</v>
      </c>
      <c r="O23" s="71">
        <f t="shared" si="6"/>
        <v>14577.565687416552</v>
      </c>
      <c r="P23" s="65">
        <f>13.93%-$P$5</f>
        <v>0.1358</v>
      </c>
      <c r="Q23" s="71">
        <f t="shared" si="7"/>
        <v>36041.28657621893</v>
      </c>
      <c r="R23" s="75">
        <f t="shared" si="8"/>
        <v>337793.7145124491</v>
      </c>
      <c r="T23" s="29">
        <f t="shared" si="9"/>
        <v>-0.07058729137955654</v>
      </c>
    </row>
    <row r="24" spans="1:20" ht="12.75">
      <c r="A24">
        <f t="shared" si="10"/>
        <v>2002</v>
      </c>
      <c r="B24" s="20">
        <f>-27.9%-$B$5</f>
        <v>-0.2808</v>
      </c>
      <c r="C24" s="71">
        <f t="shared" si="0"/>
        <v>37581.41498012212</v>
      </c>
      <c r="D24" s="19">
        <f>-27.4%-$D$5</f>
        <v>-0.27649999999999997</v>
      </c>
      <c r="E24" s="71">
        <f t="shared" si="1"/>
        <v>36897.65178141458</v>
      </c>
      <c r="F24" s="19">
        <f>-30.3%-$F$5</f>
        <v>-0.3055</v>
      </c>
      <c r="G24" s="71">
        <f t="shared" si="2"/>
        <v>20278.723229757332</v>
      </c>
      <c r="H24" s="20">
        <f>-15.5%-$H$5</f>
        <v>-0.1568</v>
      </c>
      <c r="I24" s="71">
        <f t="shared" si="3"/>
        <v>44502.1254104191</v>
      </c>
      <c r="J24" s="21">
        <f>-9.6%-$J$5</f>
        <v>-0.0985</v>
      </c>
      <c r="K24" s="71">
        <f t="shared" si="4"/>
        <v>47822.6095401915</v>
      </c>
      <c r="L24" s="21">
        <f>-11.4%-$L$5</f>
        <v>-0.1165</v>
      </c>
      <c r="M24" s="71">
        <f t="shared" si="5"/>
        <v>43200.54909327817</v>
      </c>
      <c r="N24" s="21">
        <f>-15.7%-$N$5</f>
        <v>-0.1605</v>
      </c>
      <c r="O24" s="71">
        <f t="shared" si="6"/>
        <v>12237.866394586195</v>
      </c>
      <c r="P24" s="65">
        <f>3.82%-$P$5</f>
        <v>0.034699999999999995</v>
      </c>
      <c r="Q24" s="71">
        <f t="shared" si="7"/>
        <v>37291.91922041373</v>
      </c>
      <c r="R24" s="75">
        <f t="shared" si="8"/>
        <v>279812.85965018277</v>
      </c>
      <c r="T24" s="29">
        <f t="shared" si="9"/>
        <v>-0.17164574819265768</v>
      </c>
    </row>
    <row r="25" spans="1:20" ht="12.75">
      <c r="A25">
        <f t="shared" si="10"/>
        <v>2003</v>
      </c>
      <c r="B25" s="20">
        <f>29.8%-$B$5</f>
        <v>0.29619999999999996</v>
      </c>
      <c r="C25" s="71">
        <f t="shared" si="0"/>
        <v>48713.030097234296</v>
      </c>
      <c r="D25" s="19">
        <f>42.7%-$D$5</f>
        <v>0.42450000000000004</v>
      </c>
      <c r="E25" s="71">
        <f t="shared" si="1"/>
        <v>52560.70496262507</v>
      </c>
      <c r="F25" s="19">
        <f>48.5%-$F$5</f>
        <v>0.4825</v>
      </c>
      <c r="G25" s="71">
        <f t="shared" si="2"/>
        <v>30063.207188115244</v>
      </c>
      <c r="H25" s="20">
        <f>30%-$H$5</f>
        <v>0.29819999999999997</v>
      </c>
      <c r="I25" s="71">
        <f t="shared" si="3"/>
        <v>57772.65920780608</v>
      </c>
      <c r="J25" s="21">
        <f>38.1%-$J$5</f>
        <v>0.3785</v>
      </c>
      <c r="K25" s="71">
        <f t="shared" si="4"/>
        <v>65923.46725115398</v>
      </c>
      <c r="L25" s="21">
        <f>46%-$L$5</f>
        <v>0.4575</v>
      </c>
      <c r="M25" s="71">
        <f t="shared" si="5"/>
        <v>62964.80030345293</v>
      </c>
      <c r="N25" s="21">
        <f>39.2%-$N$5</f>
        <v>0.3885</v>
      </c>
      <c r="O25" s="71">
        <f t="shared" si="6"/>
        <v>16992.277488882934</v>
      </c>
      <c r="P25" s="65">
        <f>37.13%-$P$5</f>
        <v>0.3678</v>
      </c>
      <c r="Q25" s="71">
        <f t="shared" si="7"/>
        <v>51007.8871096819</v>
      </c>
      <c r="R25" s="75">
        <f t="shared" si="8"/>
        <v>385998.0336089524</v>
      </c>
      <c r="T25" s="29">
        <f t="shared" si="9"/>
        <v>0.37948639705666326</v>
      </c>
    </row>
    <row r="26" spans="1:20" ht="12.75">
      <c r="A26">
        <f t="shared" si="10"/>
        <v>2004</v>
      </c>
      <c r="B26" s="20">
        <f>6.3%-$B$5</f>
        <v>0.0612</v>
      </c>
      <c r="C26" s="71">
        <f t="shared" si="0"/>
        <v>51694.26753918503</v>
      </c>
      <c r="D26" s="19">
        <f>15.5%-$D$5</f>
        <v>0.1525</v>
      </c>
      <c r="E26" s="71">
        <f t="shared" si="1"/>
        <v>60576.212469425394</v>
      </c>
      <c r="F26" s="19">
        <f>14.3%-$F$5</f>
        <v>0.1405</v>
      </c>
      <c r="G26" s="71">
        <f t="shared" si="2"/>
        <v>34287.08779804544</v>
      </c>
      <c r="H26" s="20">
        <f>16.5%-$H$5</f>
        <v>0.1632</v>
      </c>
      <c r="I26" s="71">
        <f t="shared" si="3"/>
        <v>67201.15719052003</v>
      </c>
      <c r="J26" s="21">
        <f>9.83%-$J$5</f>
        <v>0.0958</v>
      </c>
      <c r="K26" s="71">
        <f t="shared" si="4"/>
        <v>72238.93541381454</v>
      </c>
      <c r="L26" s="21">
        <f>5.67%-$L$5</f>
        <v>0.0542</v>
      </c>
      <c r="M26" s="71">
        <f t="shared" si="5"/>
        <v>66377.49247990009</v>
      </c>
      <c r="N26" s="21">
        <f>20.7%-$N$5</f>
        <v>0.2035</v>
      </c>
      <c r="O26" s="71">
        <f t="shared" si="6"/>
        <v>20450.20595787061</v>
      </c>
      <c r="P26" s="65">
        <f>31.58%-$P$5</f>
        <v>0.31229999999999997</v>
      </c>
      <c r="Q26" s="71">
        <f t="shared" si="7"/>
        <v>66937.65025403556</v>
      </c>
      <c r="R26" s="75">
        <f t="shared" si="8"/>
        <v>439763.0091027966</v>
      </c>
      <c r="T26" s="29">
        <f t="shared" si="9"/>
        <v>0.13928821085216334</v>
      </c>
    </row>
    <row r="27" spans="1:20" ht="12.75">
      <c r="A27">
        <v>2005</v>
      </c>
      <c r="B27" s="20">
        <f>4.7%-$B$5</f>
        <v>0.0452</v>
      </c>
      <c r="C27" s="71">
        <f t="shared" si="0"/>
        <v>54030.84843195618</v>
      </c>
      <c r="D27" s="19">
        <f>15.2%-$D$5</f>
        <v>0.1495</v>
      </c>
      <c r="E27" s="71">
        <f t="shared" si="1"/>
        <v>69632.35623360449</v>
      </c>
      <c r="F27" s="19">
        <f>10.8%-$F$5</f>
        <v>0.10550000000000001</v>
      </c>
      <c r="G27" s="71">
        <f t="shared" si="2"/>
        <v>37904.37556073923</v>
      </c>
      <c r="H27" s="20">
        <f>6.3%-$H$5</f>
        <v>0.0612</v>
      </c>
      <c r="I27" s="71">
        <f t="shared" si="3"/>
        <v>71313.86801057984</v>
      </c>
      <c r="J27" s="21">
        <f>13.1%-$J$5</f>
        <v>0.1285</v>
      </c>
      <c r="K27" s="71">
        <f t="shared" si="4"/>
        <v>81521.63861448971</v>
      </c>
      <c r="L27" s="21">
        <f>7.7%-$L$5</f>
        <v>0.0745</v>
      </c>
      <c r="M27" s="71">
        <f t="shared" si="5"/>
        <v>71322.61566965265</v>
      </c>
      <c r="N27" s="21">
        <f>14.13%-$N$5</f>
        <v>0.1378</v>
      </c>
      <c r="O27" s="71">
        <f t="shared" si="6"/>
        <v>23268.244338865177</v>
      </c>
      <c r="P27" s="65">
        <f>15.9%-$P$5</f>
        <v>0.1555</v>
      </c>
      <c r="Q27" s="71">
        <f t="shared" si="7"/>
        <v>77346.45486853809</v>
      </c>
      <c r="R27" s="139">
        <f t="shared" si="8"/>
        <v>486340.40172842535</v>
      </c>
      <c r="T27" s="29">
        <f t="shared" si="9"/>
        <v>0.10591475786163965</v>
      </c>
    </row>
    <row r="28" spans="1:20" ht="12.75">
      <c r="A28" s="110">
        <v>2006</v>
      </c>
      <c r="B28" s="20">
        <f>((64.92-58.94)/58.94)-$B$5</f>
        <v>0.09965911096029868</v>
      </c>
      <c r="C28" s="71">
        <f>C27*(1+B28)</f>
        <v>59415.51475111558</v>
      </c>
      <c r="D28" s="19">
        <f>((79.71-75.56)/75.56)-$D$5</f>
        <v>0.05242323980942286</v>
      </c>
      <c r="E28" s="71">
        <f>E27*(1+D28)</f>
        <v>73282.7099429339</v>
      </c>
      <c r="F28" s="19">
        <f>((127.96-116.01)/116.01)-$F$5</f>
        <v>0.10050836134815953</v>
      </c>
      <c r="G28" s="71">
        <f>G27*(1+F28)</f>
        <v>41714.08223627435</v>
      </c>
      <c r="H28" s="20">
        <f>((76.89-64.73)/64.73)-$H$5</f>
        <v>0.1860572532056233</v>
      </c>
      <c r="I28" s="71">
        <f>I27*(1+H28)</f>
        <v>84582.33040809669</v>
      </c>
      <c r="J28" s="21">
        <f>((79.24-70.16)/70.16)-$J$5</f>
        <v>0.12691847206385404</v>
      </c>
      <c r="K28" s="71">
        <f>K27*(1+J28)</f>
        <v>91868.24042758244</v>
      </c>
      <c r="L28" s="21">
        <f>((75.34-63.69)/63.69)-$L$5</f>
        <v>0.18041725545611564</v>
      </c>
      <c r="M28" s="71">
        <f>M27*(1+L28)</f>
        <v>84190.44624072273</v>
      </c>
      <c r="N28" s="21">
        <f>((73.22-58.2)/58.2)-$N$5</f>
        <v>0.25457560137457036</v>
      </c>
      <c r="O28" s="71">
        <f>O27*(1+N28)</f>
        <v>29191.771634362223</v>
      </c>
      <c r="P28" s="65">
        <f>((100.3-72.41)/72.41)-$P$5</f>
        <v>0.3816677945035216</v>
      </c>
      <c r="Q28" s="71">
        <f>Q27*(1+P28)</f>
        <v>106867.10571087919</v>
      </c>
      <c r="R28" s="109">
        <f>SUM(C28,E28,G28,I28,K28,M28,O28,Q28)</f>
        <v>571112.201351967</v>
      </c>
      <c r="T28" s="29">
        <f>(R28-R27)/R27</f>
        <v>0.17430548505176147</v>
      </c>
    </row>
  </sheetData>
  <printOptions/>
  <pageMargins left="0.75" right="0.75" top="1" bottom="1" header="0.5" footer="0.5"/>
  <pageSetup orientation="landscape" r:id="rId1"/>
</worksheet>
</file>

<file path=xl/worksheets/sheet3.xml><?xml version="1.0" encoding="utf-8"?>
<worksheet xmlns="http://schemas.openxmlformats.org/spreadsheetml/2006/main" xmlns:r="http://schemas.openxmlformats.org/officeDocument/2006/relationships">
  <dimension ref="A1:T63"/>
  <sheetViews>
    <sheetView zoomScale="90" zoomScaleNormal="90" workbookViewId="0" topLeftCell="A1">
      <pane xSplit="1" ySplit="9" topLeftCell="B10" activePane="bottomRight" state="frozen"/>
      <selection pane="topLeft" activeCell="A1" sqref="A1"/>
      <selection pane="topRight" activeCell="B1" sqref="B1"/>
      <selection pane="bottomLeft" activeCell="A9" sqref="A9"/>
      <selection pane="bottomRight" activeCell="B17" sqref="B17"/>
    </sheetView>
  </sheetViews>
  <sheetFormatPr defaultColWidth="9.140625" defaultRowHeight="12.75"/>
  <cols>
    <col min="1" max="1" width="19.421875" style="0" customWidth="1"/>
    <col min="2" max="2" width="17.7109375" style="0" customWidth="1"/>
    <col min="3" max="3" width="10.8515625" style="0" customWidth="1"/>
    <col min="4" max="4" width="15.28125" style="0" customWidth="1"/>
    <col min="5" max="5" width="9.57421875" style="0" customWidth="1"/>
    <col min="6" max="6" width="13.28125" style="0" customWidth="1"/>
    <col min="7" max="7" width="9.28125" style="0" customWidth="1"/>
    <col min="8" max="8" width="15.421875" style="0" customWidth="1"/>
    <col min="9" max="9" width="9.7109375" style="0" customWidth="1"/>
    <col min="10" max="10" width="13.57421875" style="0" customWidth="1"/>
    <col min="11" max="11" width="9.7109375" style="0" customWidth="1"/>
    <col min="12" max="12" width="16.28125" style="0" customWidth="1"/>
    <col min="13" max="13" width="9.7109375" style="0" customWidth="1"/>
    <col min="14" max="14" width="19.28125" style="0" customWidth="1"/>
    <col min="15" max="15" width="10.00390625" style="0" customWidth="1"/>
    <col min="16" max="16" width="12.00390625" style="0" customWidth="1"/>
    <col min="17" max="17" width="9.421875" style="0" customWidth="1"/>
    <col min="18" max="18" width="10.140625" style="0" customWidth="1"/>
    <col min="20" max="20" width="13.140625" style="0" customWidth="1"/>
  </cols>
  <sheetData>
    <row r="1" spans="1:4" ht="16.5" thickBot="1">
      <c r="A1" s="30" t="s">
        <v>0</v>
      </c>
      <c r="C1" s="107" t="s">
        <v>54</v>
      </c>
      <c r="D1" s="108"/>
    </row>
    <row r="3" spans="1:3" ht="15.75">
      <c r="A3" s="13" t="s">
        <v>2</v>
      </c>
      <c r="B3" s="88">
        <v>80000</v>
      </c>
      <c r="C3" s="22">
        <v>32508</v>
      </c>
    </row>
    <row r="4" spans="1:14" ht="15.75">
      <c r="A4" s="14" t="s">
        <v>11</v>
      </c>
      <c r="B4" s="89">
        <f>R43</f>
        <v>499323.7746627193</v>
      </c>
      <c r="C4" s="22">
        <v>38717</v>
      </c>
      <c r="M4" s="56"/>
      <c r="N4" s="56"/>
    </row>
    <row r="5" spans="1:16" ht="15.75">
      <c r="A5" s="12" t="s">
        <v>15</v>
      </c>
      <c r="B5" s="18">
        <v>0.0018</v>
      </c>
      <c r="C5" s="17" t="s">
        <v>3</v>
      </c>
      <c r="D5" s="18">
        <v>0.0025</v>
      </c>
      <c r="E5" s="17" t="s">
        <v>3</v>
      </c>
      <c r="F5" s="18">
        <v>0.0025</v>
      </c>
      <c r="G5" s="17" t="s">
        <v>3</v>
      </c>
      <c r="H5" s="18">
        <v>0.0018</v>
      </c>
      <c r="I5" s="17" t="s">
        <v>3</v>
      </c>
      <c r="J5" s="18">
        <v>0.0025</v>
      </c>
      <c r="K5" s="17" t="s">
        <v>3</v>
      </c>
      <c r="L5" s="18">
        <v>0.0025</v>
      </c>
      <c r="M5" s="17" t="s">
        <v>3</v>
      </c>
      <c r="N5" s="18">
        <v>0.0035</v>
      </c>
      <c r="P5" s="57">
        <v>0.0035</v>
      </c>
    </row>
    <row r="6" ht="12.75">
      <c r="C6" t="s">
        <v>3</v>
      </c>
    </row>
    <row r="7" spans="1:20" ht="15.75">
      <c r="A7" s="16" t="s">
        <v>14</v>
      </c>
      <c r="C7" s="12">
        <v>8</v>
      </c>
      <c r="E7" s="12">
        <v>2</v>
      </c>
      <c r="G7" s="12">
        <v>5</v>
      </c>
      <c r="I7" s="12">
        <v>7</v>
      </c>
      <c r="K7" s="12">
        <v>4</v>
      </c>
      <c r="M7" s="12">
        <v>6</v>
      </c>
      <c r="O7" s="12">
        <v>3</v>
      </c>
      <c r="Q7" s="12">
        <v>1</v>
      </c>
      <c r="R7" s="3" t="s">
        <v>12</v>
      </c>
      <c r="T7" s="3" t="s">
        <v>1</v>
      </c>
    </row>
    <row r="8" spans="2:20" ht="12.75">
      <c r="B8" s="9" t="s">
        <v>17</v>
      </c>
      <c r="D8" s="9" t="s">
        <v>18</v>
      </c>
      <c r="F8" s="9" t="s">
        <v>19</v>
      </c>
      <c r="H8" s="9" t="s">
        <v>20</v>
      </c>
      <c r="J8" s="9" t="s">
        <v>21</v>
      </c>
      <c r="K8" s="102"/>
      <c r="L8" s="9" t="s">
        <v>22</v>
      </c>
      <c r="N8" s="9" t="s">
        <v>45</v>
      </c>
      <c r="P8" s="9" t="s">
        <v>44</v>
      </c>
      <c r="Q8" s="55"/>
      <c r="T8" s="3" t="s">
        <v>27</v>
      </c>
    </row>
    <row r="9" spans="1:17" ht="12.75">
      <c r="A9" s="4" t="s">
        <v>3</v>
      </c>
      <c r="B9" s="10" t="s">
        <v>5</v>
      </c>
      <c r="C9" t="s">
        <v>3</v>
      </c>
      <c r="D9" s="10" t="s">
        <v>5</v>
      </c>
      <c r="E9" t="s">
        <v>3</v>
      </c>
      <c r="F9" s="10" t="s">
        <v>5</v>
      </c>
      <c r="G9" t="s">
        <v>3</v>
      </c>
      <c r="H9" s="10" t="s">
        <v>5</v>
      </c>
      <c r="J9" s="10" t="s">
        <v>5</v>
      </c>
      <c r="L9" s="10" t="s">
        <v>5</v>
      </c>
      <c r="N9" s="10" t="s">
        <v>5</v>
      </c>
      <c r="P9" s="10" t="s">
        <v>5</v>
      </c>
      <c r="Q9" s="55"/>
    </row>
    <row r="10" spans="1:18" ht="12.75">
      <c r="A10" t="s">
        <v>2</v>
      </c>
      <c r="C10" s="71">
        <f>$B$3*1/8</f>
        <v>10000</v>
      </c>
      <c r="D10" s="1"/>
      <c r="E10" s="71">
        <f>$B$3*1/8</f>
        <v>10000</v>
      </c>
      <c r="F10" s="7" t="s">
        <v>3</v>
      </c>
      <c r="G10" s="71">
        <f>$B$3*1/8</f>
        <v>10000</v>
      </c>
      <c r="I10" s="71">
        <f>$B$3*1/8</f>
        <v>10000</v>
      </c>
      <c r="J10" t="s">
        <v>3</v>
      </c>
      <c r="K10" s="71">
        <f>$B$3*1/8</f>
        <v>10000</v>
      </c>
      <c r="L10" t="s">
        <v>3</v>
      </c>
      <c r="M10" s="74">
        <f>$B$3*1/8</f>
        <v>10000</v>
      </c>
      <c r="N10" t="s">
        <v>3</v>
      </c>
      <c r="O10" s="74">
        <f>$B$3*1/8</f>
        <v>10000</v>
      </c>
      <c r="Q10" s="74">
        <f>$B$3*1/8</f>
        <v>10000</v>
      </c>
      <c r="R10" s="75">
        <f>SUM(C10,E10,G10,I10,K10,M10,O10,Q10)</f>
        <v>80000</v>
      </c>
    </row>
    <row r="11" spans="1:20" ht="12.75">
      <c r="A11">
        <v>1989</v>
      </c>
      <c r="B11" s="19">
        <f>0.359-$B$5</f>
        <v>0.35719999999999996</v>
      </c>
      <c r="C11" s="71">
        <f>C10*(1+B11)</f>
        <v>13572</v>
      </c>
      <c r="D11" s="19">
        <f>31.48%-$D$5</f>
        <v>0.3123</v>
      </c>
      <c r="E11" s="71">
        <f>E10*(1+D11)</f>
        <v>13123</v>
      </c>
      <c r="F11" s="19">
        <f>20.19%-$F$5</f>
        <v>0.19940000000000002</v>
      </c>
      <c r="G11" s="71">
        <f>G10*(1+F11)</f>
        <v>11994</v>
      </c>
      <c r="H11" s="20">
        <f>25.21%-$H$5</f>
        <v>0.25029999999999997</v>
      </c>
      <c r="I11" s="71">
        <f>I10*(1+H11)</f>
        <v>12503</v>
      </c>
      <c r="J11" s="21">
        <f>22.69%-$J$5</f>
        <v>0.22440000000000002</v>
      </c>
      <c r="K11" s="71">
        <f>K10*(1+J11)</f>
        <v>12244</v>
      </c>
      <c r="L11" s="21">
        <f>12.42%-$L$5</f>
        <v>0.1217</v>
      </c>
      <c r="M11" s="74">
        <f>M10*(1+L11)</f>
        <v>11217</v>
      </c>
      <c r="N11" s="21">
        <f>10.8%-$N$5</f>
        <v>0.10450000000000001</v>
      </c>
      <c r="O11" s="74">
        <f>O10*(1+N11)</f>
        <v>11045</v>
      </c>
      <c r="P11" s="64">
        <f>8.84%-$P$5</f>
        <v>0.08489999999999999</v>
      </c>
      <c r="Q11" s="74">
        <f>Q10*(1+P11)</f>
        <v>10849</v>
      </c>
      <c r="R11" s="75">
        <f aca="true" t="shared" si="0" ref="R11:R43">SUM(C11,E11,G11,I11,K11,M11,O11,Q11)</f>
        <v>96547</v>
      </c>
      <c r="T11" s="29">
        <f>(R11-R10)/R10</f>
        <v>0.2068375</v>
      </c>
    </row>
    <row r="12" spans="2:20" ht="12.75">
      <c r="B12" s="19"/>
      <c r="C12" s="71">
        <f>R11/8</f>
        <v>12068.375</v>
      </c>
      <c r="D12" s="19"/>
      <c r="E12" s="71">
        <f>R11/8</f>
        <v>12068.375</v>
      </c>
      <c r="F12" s="19"/>
      <c r="G12" s="71">
        <f>R11/8</f>
        <v>12068.375</v>
      </c>
      <c r="H12" s="20"/>
      <c r="I12" s="71">
        <f>$R$11/8</f>
        <v>12068.375</v>
      </c>
      <c r="J12" s="21"/>
      <c r="K12" s="71">
        <f>$R$11/8</f>
        <v>12068.375</v>
      </c>
      <c r="L12" s="21"/>
      <c r="M12" s="74">
        <f>$R$11/8</f>
        <v>12068.375</v>
      </c>
      <c r="N12" s="21"/>
      <c r="O12" s="74">
        <f>$R$11/8</f>
        <v>12068.375</v>
      </c>
      <c r="P12" s="64"/>
      <c r="Q12" s="74">
        <f>$R$11/8</f>
        <v>12068.375</v>
      </c>
      <c r="R12" s="75">
        <f t="shared" si="0"/>
        <v>96547</v>
      </c>
      <c r="T12" s="29"/>
    </row>
    <row r="13" spans="1:20" ht="12.75">
      <c r="A13">
        <v>1990</v>
      </c>
      <c r="B13" s="19">
        <f>-0.0026-$B$5</f>
        <v>-0.004399999999999999</v>
      </c>
      <c r="C13" s="71">
        <f>C12*(1+B13)</f>
        <v>12015.274150000001</v>
      </c>
      <c r="D13" s="19">
        <f>-5.1%-$D$5</f>
        <v>-0.0535</v>
      </c>
      <c r="E13" s="71">
        <f>E12*(1+D13)</f>
        <v>11422.7169375</v>
      </c>
      <c r="F13" s="19">
        <f>-17.42%-$F$5</f>
        <v>-0.17670000000000002</v>
      </c>
      <c r="G13" s="71">
        <f>G12*(1+F13)</f>
        <v>9935.8931375</v>
      </c>
      <c r="H13" s="20">
        <f>-8.1%-$H$5</f>
        <v>-0.0828</v>
      </c>
      <c r="I13" s="71">
        <f>I12*(1+H13)</f>
        <v>11069.11355</v>
      </c>
      <c r="J13" s="21">
        <f>-16.08%-$J$5</f>
        <v>-0.16329999999999997</v>
      </c>
      <c r="K13" s="71">
        <f>K12*(1+J13)</f>
        <v>10097.6093625</v>
      </c>
      <c r="L13" s="21">
        <f>-22.77%-$L$5</f>
        <v>-0.2302</v>
      </c>
      <c r="M13" s="71">
        <f>M12*(1+L13)</f>
        <v>9290.235075</v>
      </c>
      <c r="N13" s="21">
        <f>-23.2%-$N$5</f>
        <v>-0.2355</v>
      </c>
      <c r="O13" s="71">
        <f>O12*(1+N13)</f>
        <v>9226.272687499999</v>
      </c>
      <c r="P13" s="65">
        <f>-15.34%-$P$5</f>
        <v>-0.1569</v>
      </c>
      <c r="Q13" s="71">
        <f>Q12*(1+P13)</f>
        <v>10174.8469625</v>
      </c>
      <c r="R13" s="75">
        <f t="shared" si="0"/>
        <v>83231.9618625</v>
      </c>
      <c r="T13" s="29">
        <f>(R13-R11)/R11</f>
        <v>-0.1379125</v>
      </c>
    </row>
    <row r="14" spans="2:20" ht="12.75">
      <c r="B14" s="19"/>
      <c r="C14" s="71">
        <f>R13/8</f>
        <v>10403.9952328125</v>
      </c>
      <c r="D14" s="19"/>
      <c r="E14" s="71">
        <f>R13/8</f>
        <v>10403.9952328125</v>
      </c>
      <c r="F14" s="19"/>
      <c r="G14" s="71">
        <f>R13/8</f>
        <v>10403.9952328125</v>
      </c>
      <c r="H14" s="20"/>
      <c r="I14" s="71">
        <f>R13/8</f>
        <v>10403.9952328125</v>
      </c>
      <c r="J14" s="21"/>
      <c r="K14" s="71">
        <f>R13/8</f>
        <v>10403.9952328125</v>
      </c>
      <c r="L14" s="21"/>
      <c r="M14" s="74">
        <f>R13/8</f>
        <v>10403.9952328125</v>
      </c>
      <c r="N14" s="21"/>
      <c r="O14" s="74">
        <f>R13/8</f>
        <v>10403.9952328125</v>
      </c>
      <c r="P14" s="65"/>
      <c r="Q14" s="74">
        <f>R13/8</f>
        <v>10403.9952328125</v>
      </c>
      <c r="R14" s="75">
        <f t="shared" si="0"/>
        <v>83231.9618625</v>
      </c>
      <c r="T14" s="29"/>
    </row>
    <row r="15" spans="1:20" ht="12.75">
      <c r="A15">
        <v>1991</v>
      </c>
      <c r="B15" s="19">
        <f>0.412-$B$5</f>
        <v>0.41019999999999995</v>
      </c>
      <c r="C15" s="71">
        <f>C14*(1+B15)</f>
        <v>14671.714077312186</v>
      </c>
      <c r="D15" s="19">
        <f>47%-$D$5</f>
        <v>0.46749999999999997</v>
      </c>
      <c r="E15" s="71">
        <f>E14*(1+D15)</f>
        <v>15267.863004152345</v>
      </c>
      <c r="F15" s="19">
        <f>51.2%-$F$5</f>
        <v>0.5095000000000001</v>
      </c>
      <c r="G15" s="71">
        <f>G14*(1+F15)</f>
        <v>15704.83080393047</v>
      </c>
      <c r="H15" s="20">
        <f>24.6%-$H$5</f>
        <v>0.24420000000000003</v>
      </c>
      <c r="I15" s="71">
        <f>I14*(1+H15)</f>
        <v>12944.650868665312</v>
      </c>
      <c r="J15" s="21">
        <f>37.9%-$J$5</f>
        <v>0.3765</v>
      </c>
      <c r="K15" s="71">
        <f>K14*(1+J15)</f>
        <v>14321.099437966406</v>
      </c>
      <c r="L15" s="21">
        <f>41.7%-$L$5</f>
        <v>0.41450000000000004</v>
      </c>
      <c r="M15" s="71">
        <f>M14*(1+L15)</f>
        <v>14716.451256813281</v>
      </c>
      <c r="N15" s="21">
        <f>12.5%-$N$5</f>
        <v>0.1215</v>
      </c>
      <c r="O15" s="71">
        <f>O14*(1+N15)</f>
        <v>11668.080653599218</v>
      </c>
      <c r="P15" s="65">
        <f>35.7%-$P$5</f>
        <v>0.35350000000000004</v>
      </c>
      <c r="Q15" s="71">
        <f>Q14*(1+P15)</f>
        <v>14081.807547611717</v>
      </c>
      <c r="R15" s="75">
        <f t="shared" si="0"/>
        <v>113376.49765005094</v>
      </c>
      <c r="T15" s="29">
        <f>(R15-R13)/R13</f>
        <v>0.36217499999999997</v>
      </c>
    </row>
    <row r="16" spans="2:20" ht="12.75">
      <c r="B16" s="19"/>
      <c r="C16" s="71">
        <f>R15/8</f>
        <v>14172.062206256367</v>
      </c>
      <c r="D16" s="19"/>
      <c r="E16" s="71">
        <f>R15/8</f>
        <v>14172.062206256367</v>
      </c>
      <c r="F16" s="19"/>
      <c r="G16" s="71">
        <f>R15/8</f>
        <v>14172.062206256367</v>
      </c>
      <c r="H16" s="20"/>
      <c r="I16" s="71">
        <f>R15/8</f>
        <v>14172.062206256367</v>
      </c>
      <c r="J16" s="21"/>
      <c r="K16" s="71">
        <f>R15/8</f>
        <v>14172.062206256367</v>
      </c>
      <c r="L16" s="21"/>
      <c r="M16" s="74">
        <f>R15/8</f>
        <v>14172.062206256367</v>
      </c>
      <c r="N16" s="21"/>
      <c r="O16" s="74">
        <f>R15/8</f>
        <v>14172.062206256367</v>
      </c>
      <c r="P16" s="65"/>
      <c r="Q16" s="74">
        <f>R15/8</f>
        <v>14172.062206256367</v>
      </c>
      <c r="R16" s="75">
        <f t="shared" si="0"/>
        <v>113376.49765005092</v>
      </c>
      <c r="T16" s="29"/>
    </row>
    <row r="17" spans="1:20" ht="12.75">
      <c r="A17">
        <f>A15+1</f>
        <v>1992</v>
      </c>
      <c r="B17" s="20">
        <f>5%-$B$5</f>
        <v>0.0482</v>
      </c>
      <c r="C17" s="71">
        <f>C16*(1+B17)</f>
        <v>14855.155604597925</v>
      </c>
      <c r="D17" s="19">
        <f>8.7%-$D$5</f>
        <v>0.08449999999999999</v>
      </c>
      <c r="E17" s="71">
        <f>E16*(1+D17)</f>
        <v>15369.60146268503</v>
      </c>
      <c r="F17" s="19">
        <f>7.8%-$F$5</f>
        <v>0.0755</v>
      </c>
      <c r="G17" s="71">
        <f>G16*(1+F17)</f>
        <v>15242.052902828722</v>
      </c>
      <c r="H17" s="20">
        <f>13.8%-$H$5</f>
        <v>0.13620000000000002</v>
      </c>
      <c r="I17" s="71">
        <f>I16*(1+H17)</f>
        <v>16102.297078748486</v>
      </c>
      <c r="J17" s="21">
        <f>21.68%-$J$5</f>
        <v>0.2143</v>
      </c>
      <c r="K17" s="71">
        <f>K16*(1+J17)</f>
        <v>17209.135137057106</v>
      </c>
      <c r="L17" s="21">
        <f>29.2%-$L$5</f>
        <v>0.2895</v>
      </c>
      <c r="M17" s="71">
        <f>M16*(1+L17)</f>
        <v>18274.87421496758</v>
      </c>
      <c r="N17" s="21">
        <f>-11.9%-$N$5</f>
        <v>-0.12250000000000001</v>
      </c>
      <c r="O17" s="71">
        <f>O16*(1+N17)</f>
        <v>12435.984585989961</v>
      </c>
      <c r="P17" s="65">
        <f>14.59%-$P$5</f>
        <v>0.1424</v>
      </c>
      <c r="Q17" s="71">
        <f>Q16*(1+P17)</f>
        <v>16190.163864427275</v>
      </c>
      <c r="R17" s="75">
        <f t="shared" si="0"/>
        <v>125679.2648513021</v>
      </c>
      <c r="T17" s="29">
        <f>(R17-R15)/R15</f>
        <v>0.10851250000000008</v>
      </c>
    </row>
    <row r="18" spans="2:20" ht="12.75">
      <c r="B18" s="20"/>
      <c r="C18" s="71">
        <f>R17/8</f>
        <v>15709.908106412762</v>
      </c>
      <c r="D18" s="19"/>
      <c r="E18" s="71">
        <f>R17/8</f>
        <v>15709.908106412762</v>
      </c>
      <c r="F18" s="19"/>
      <c r="G18" s="71">
        <f>R17/8</f>
        <v>15709.908106412762</v>
      </c>
      <c r="H18" s="20"/>
      <c r="I18" s="71">
        <f>R17/8</f>
        <v>15709.908106412762</v>
      </c>
      <c r="J18" s="21"/>
      <c r="K18" s="74">
        <f>R17/8</f>
        <v>15709.908106412762</v>
      </c>
      <c r="L18" s="21"/>
      <c r="M18" s="74">
        <f>R17/8</f>
        <v>15709.908106412762</v>
      </c>
      <c r="N18" s="21"/>
      <c r="O18" s="74">
        <f>R17/8</f>
        <v>15709.908106412762</v>
      </c>
      <c r="P18" s="65"/>
      <c r="Q18" s="74">
        <f>R17/8</f>
        <v>15709.908106412762</v>
      </c>
      <c r="R18" s="75">
        <f t="shared" si="0"/>
        <v>125679.26485130211</v>
      </c>
      <c r="T18" s="29"/>
    </row>
    <row r="19" spans="1:20" ht="12.75">
      <c r="A19">
        <f>A17+1</f>
        <v>1993</v>
      </c>
      <c r="B19" s="20">
        <f>2.9%-$B$5</f>
        <v>0.0272</v>
      </c>
      <c r="C19" s="71">
        <f>C18*(1+B19)</f>
        <v>16137.217606907188</v>
      </c>
      <c r="D19" s="19">
        <f>11.2%-$D$5</f>
        <v>0.10949999999999999</v>
      </c>
      <c r="E19" s="71">
        <f>E18*(1+D19)</f>
        <v>17430.14304406496</v>
      </c>
      <c r="F19" s="19">
        <f>13.4%-$F$5</f>
        <v>0.1315</v>
      </c>
      <c r="G19" s="71">
        <f>G18*(1+F19)</f>
        <v>17775.76102240604</v>
      </c>
      <c r="H19" s="20">
        <f>18.1%-$H$5</f>
        <v>0.17920000000000003</v>
      </c>
      <c r="I19" s="71">
        <f>I18*(1+H19)</f>
        <v>18525.12363908193</v>
      </c>
      <c r="J19" s="21">
        <f>15.6%-$J$5</f>
        <v>0.1535</v>
      </c>
      <c r="K19" s="71">
        <f>K18*(1+J19)</f>
        <v>18121.37900074712</v>
      </c>
      <c r="L19" s="21">
        <f>23.9%-$L$5</f>
        <v>0.2365</v>
      </c>
      <c r="M19" s="71">
        <f>M18*(1+L19)</f>
        <v>19425.30137357938</v>
      </c>
      <c r="N19" s="21">
        <f>32.9%-$N$5</f>
        <v>0.32549999999999996</v>
      </c>
      <c r="O19" s="71">
        <f>O18*(1+N19)</f>
        <v>20823.483195050114</v>
      </c>
      <c r="P19" s="65">
        <f>19.65%-$P$5</f>
        <v>0.19299999999999998</v>
      </c>
      <c r="Q19" s="71">
        <f>Q18*(1+P19)</f>
        <v>18741.920370950425</v>
      </c>
      <c r="R19" s="75">
        <f t="shared" si="0"/>
        <v>146980.32925278717</v>
      </c>
      <c r="T19" s="29">
        <f>(R19-R17)/R17</f>
        <v>0.16948750000000004</v>
      </c>
    </row>
    <row r="20" spans="2:20" ht="12.75">
      <c r="B20" s="20"/>
      <c r="C20" s="71">
        <f>R19/8</f>
        <v>18372.541156598396</v>
      </c>
      <c r="D20" s="19"/>
      <c r="E20" s="71">
        <f>R19/8</f>
        <v>18372.541156598396</v>
      </c>
      <c r="F20" s="19"/>
      <c r="G20" s="71">
        <f>R19/8</f>
        <v>18372.541156598396</v>
      </c>
      <c r="H20" s="20"/>
      <c r="I20" s="71">
        <f>R19/8</f>
        <v>18372.541156598396</v>
      </c>
      <c r="J20" s="21"/>
      <c r="K20" s="71">
        <f>R19/8</f>
        <v>18372.541156598396</v>
      </c>
      <c r="L20" s="21"/>
      <c r="M20" s="74">
        <f>R19/8</f>
        <v>18372.541156598396</v>
      </c>
      <c r="N20" s="21"/>
      <c r="O20" s="74">
        <f>R19/8</f>
        <v>18372.541156598396</v>
      </c>
      <c r="P20" s="65"/>
      <c r="Q20" s="74">
        <f>R19/8</f>
        <v>18372.541156598396</v>
      </c>
      <c r="R20" s="75">
        <f t="shared" si="0"/>
        <v>146980.32925278717</v>
      </c>
      <c r="T20" s="29"/>
    </row>
    <row r="21" spans="1:20" ht="12.75">
      <c r="A21">
        <f>A19+1</f>
        <v>1994</v>
      </c>
      <c r="B21" s="20">
        <f>2.6%-$B$5</f>
        <v>0.024200000000000003</v>
      </c>
      <c r="C21" s="71">
        <f>C20*(1+B21)</f>
        <v>18817.156652588077</v>
      </c>
      <c r="D21" s="19">
        <f>-2.2%-$D$5</f>
        <v>-0.0245</v>
      </c>
      <c r="E21" s="71">
        <f>E20*(1+D21)</f>
        <v>17922.413898261737</v>
      </c>
      <c r="F21" s="19">
        <f>-2.4%-$F$5</f>
        <v>-0.0265</v>
      </c>
      <c r="G21" s="71">
        <f>G20*(1+F21)</f>
        <v>17885.66881594854</v>
      </c>
      <c r="H21" s="20">
        <f>-2%-$H$5</f>
        <v>-0.0218</v>
      </c>
      <c r="I21" s="71">
        <f>I20*(1+H21)</f>
        <v>17972.01975938455</v>
      </c>
      <c r="J21" s="21">
        <f>-2.1%-$J$5</f>
        <v>-0.0235</v>
      </c>
      <c r="K21" s="71">
        <f>K20*(1+J21)</f>
        <v>17940.786439418334</v>
      </c>
      <c r="L21" s="21">
        <f>-1.5%-$L$5</f>
        <v>-0.017499999999999998</v>
      </c>
      <c r="M21" s="71">
        <f>M20*(1+L21)</f>
        <v>18051.021686357926</v>
      </c>
      <c r="N21" s="21">
        <f>8.1%-$N$5</f>
        <v>0.0775</v>
      </c>
      <c r="O21" s="71">
        <f>O20*(1+N21)</f>
        <v>19796.41309623477</v>
      </c>
      <c r="P21" s="65">
        <f>3.17%-$P$5</f>
        <v>0.0282</v>
      </c>
      <c r="Q21" s="71">
        <f>Q20*(1+P21)</f>
        <v>18890.64681721447</v>
      </c>
      <c r="R21" s="75">
        <f t="shared" si="0"/>
        <v>147276.1271654084</v>
      </c>
      <c r="T21" s="29">
        <f>(R21-R19)/R19</f>
        <v>0.002012499999999974</v>
      </c>
    </row>
    <row r="22" spans="2:20" ht="12.75">
      <c r="B22" s="20"/>
      <c r="C22" s="71">
        <f>R21/8</f>
        <v>18409.51589567605</v>
      </c>
      <c r="D22" s="19"/>
      <c r="E22" s="71">
        <f>R21/8</f>
        <v>18409.51589567605</v>
      </c>
      <c r="F22" s="19"/>
      <c r="G22" s="71">
        <f>R21/8</f>
        <v>18409.51589567605</v>
      </c>
      <c r="H22" s="20"/>
      <c r="I22" s="71">
        <f>R21/8</f>
        <v>18409.51589567605</v>
      </c>
      <c r="J22" s="21"/>
      <c r="K22" s="71">
        <f>R21/8</f>
        <v>18409.51589567605</v>
      </c>
      <c r="L22" s="21"/>
      <c r="M22" s="74">
        <f>R21/8</f>
        <v>18409.51589567605</v>
      </c>
      <c r="N22" s="21"/>
      <c r="O22" s="74">
        <f>R21/8</f>
        <v>18409.51589567605</v>
      </c>
      <c r="P22" s="65"/>
      <c r="Q22" s="74">
        <f>R21/8</f>
        <v>18409.51589567605</v>
      </c>
      <c r="R22" s="75">
        <f t="shared" si="0"/>
        <v>147276.12716540837</v>
      </c>
      <c r="T22" s="29"/>
    </row>
    <row r="23" spans="1:20" ht="12.75">
      <c r="A23">
        <f>A21+1</f>
        <v>1995</v>
      </c>
      <c r="B23" s="20">
        <f>37.2%-$B$5</f>
        <v>0.37020000000000003</v>
      </c>
      <c r="C23" s="71">
        <f>C22*(1+B23)</f>
        <v>25224.718680255326</v>
      </c>
      <c r="D23" s="19">
        <f>34%-$D$5</f>
        <v>0.3375</v>
      </c>
      <c r="E23" s="71">
        <f>E22*(1+D23)</f>
        <v>24622.727510466713</v>
      </c>
      <c r="F23" s="19">
        <f>31%-$F$5</f>
        <v>0.3075</v>
      </c>
      <c r="G23" s="71">
        <f>G22*(1+F23)</f>
        <v>24070.44203359644</v>
      </c>
      <c r="H23" s="20">
        <f>38.4%-$H$5</f>
        <v>0.3822</v>
      </c>
      <c r="I23" s="71">
        <f>I22*(1+H23)</f>
        <v>25445.632871003436</v>
      </c>
      <c r="J23" s="21">
        <f>34.9%-$J$5</f>
        <v>0.3465</v>
      </c>
      <c r="K23" s="71">
        <f>K22*(1+J23)</f>
        <v>24788.413153527803</v>
      </c>
      <c r="L23" s="21">
        <f>25.8%-$L$5</f>
        <v>0.2555</v>
      </c>
      <c r="M23" s="74">
        <f>M22*(1+L23)</f>
        <v>23113.14720702128</v>
      </c>
      <c r="N23" s="21">
        <f>11.6%-$N$5</f>
        <v>0.11249999999999999</v>
      </c>
      <c r="O23" s="74">
        <f>O22*(1+N23)</f>
        <v>20480.586433939607</v>
      </c>
      <c r="P23" s="65">
        <f>15.27%-$P$5</f>
        <v>0.1492</v>
      </c>
      <c r="Q23" s="74">
        <f>Q22*(1+P23)</f>
        <v>21156.215667310917</v>
      </c>
      <c r="R23" s="75">
        <f t="shared" si="0"/>
        <v>188901.88355712153</v>
      </c>
      <c r="T23" s="29">
        <f>(R23-R21)/R21</f>
        <v>0.2826375000000001</v>
      </c>
    </row>
    <row r="24" spans="2:20" ht="12.75">
      <c r="B24" s="20"/>
      <c r="C24" s="71">
        <f>$R$23/8</f>
        <v>23612.73544464019</v>
      </c>
      <c r="D24" s="19"/>
      <c r="E24" s="71">
        <f>$R$23/8</f>
        <v>23612.73544464019</v>
      </c>
      <c r="F24" s="19"/>
      <c r="G24" s="71">
        <f>$R$23/8</f>
        <v>23612.73544464019</v>
      </c>
      <c r="H24" s="20"/>
      <c r="I24" s="71">
        <f>$R$23/8</f>
        <v>23612.73544464019</v>
      </c>
      <c r="J24" s="21"/>
      <c r="K24" s="71">
        <f>$R$23/8</f>
        <v>23612.73544464019</v>
      </c>
      <c r="L24" s="21"/>
      <c r="M24" s="71">
        <f>$R$23/8</f>
        <v>23612.73544464019</v>
      </c>
      <c r="N24" s="21"/>
      <c r="O24" s="71">
        <f>$R$23/8</f>
        <v>23612.73544464019</v>
      </c>
      <c r="P24" s="65"/>
      <c r="Q24" s="71">
        <f>$R$23/8</f>
        <v>23612.73544464019</v>
      </c>
      <c r="R24" s="75">
        <f t="shared" si="0"/>
        <v>188901.88355712153</v>
      </c>
      <c r="T24" s="29"/>
    </row>
    <row r="25" spans="1:20" ht="12.75">
      <c r="A25">
        <f>A23+1</f>
        <v>1996</v>
      </c>
      <c r="B25" s="20">
        <f>23.1%-$B$5</f>
        <v>0.22920000000000001</v>
      </c>
      <c r="C25" s="71">
        <f>C24*(1+B25)</f>
        <v>29024.774408551726</v>
      </c>
      <c r="D25" s="19">
        <f>17.5%-$D$5</f>
        <v>0.1725</v>
      </c>
      <c r="E25" s="71">
        <f>E24*(1+D25)</f>
        <v>27685.93230884062</v>
      </c>
      <c r="F25" s="19">
        <f>11.3%-$F$5</f>
        <v>0.1105</v>
      </c>
      <c r="G25" s="71">
        <f>G24*(1+F25)</f>
        <v>26221.94271127293</v>
      </c>
      <c r="H25" s="20">
        <f>21.6%-$H$5</f>
        <v>0.21420000000000003</v>
      </c>
      <c r="I25" s="71">
        <f>I24*(1+H25)</f>
        <v>28670.583376882118</v>
      </c>
      <c r="J25" s="21">
        <f>20.3%-$J$5</f>
        <v>0.2005</v>
      </c>
      <c r="K25" s="71">
        <f>K24*(1+J25)</f>
        <v>28347.088901290546</v>
      </c>
      <c r="L25" s="21">
        <f>21.4%-$L$5</f>
        <v>0.2115</v>
      </c>
      <c r="M25" s="71">
        <f>M24*(1+L25)</f>
        <v>28606.828991181592</v>
      </c>
      <c r="N25" s="21">
        <f>6.4%-$N$5</f>
        <v>0.0605</v>
      </c>
      <c r="O25" s="71">
        <f>O24*(1+N25)</f>
        <v>25041.30593904092</v>
      </c>
      <c r="P25" s="65">
        <f>35.27%-$P$5</f>
        <v>0.3492</v>
      </c>
      <c r="Q25" s="71">
        <f>Q24*(1+P25)</f>
        <v>31858.302661908547</v>
      </c>
      <c r="R25" s="75">
        <f t="shared" si="0"/>
        <v>225456.75929896903</v>
      </c>
      <c r="T25" s="29">
        <f>(R25-R23)/R23</f>
        <v>0.19351250000000011</v>
      </c>
    </row>
    <row r="26" spans="2:20" ht="12.75">
      <c r="B26" s="20"/>
      <c r="C26" s="71">
        <f>$R$25/8</f>
        <v>28182.09491237113</v>
      </c>
      <c r="D26" s="19"/>
      <c r="E26" s="71">
        <f>$R$25/8</f>
        <v>28182.09491237113</v>
      </c>
      <c r="F26" s="19"/>
      <c r="G26" s="71">
        <f>$R$25/8</f>
        <v>28182.09491237113</v>
      </c>
      <c r="H26" s="20"/>
      <c r="I26" s="71">
        <f>$R$25/8</f>
        <v>28182.09491237113</v>
      </c>
      <c r="J26" s="21"/>
      <c r="K26" s="71">
        <f>$R$25/8</f>
        <v>28182.09491237113</v>
      </c>
      <c r="L26" s="21"/>
      <c r="M26" s="71">
        <f>$R$25/8</f>
        <v>28182.09491237113</v>
      </c>
      <c r="N26" s="21"/>
      <c r="O26" s="71">
        <f>$R$25/8</f>
        <v>28182.09491237113</v>
      </c>
      <c r="P26" s="65"/>
      <c r="Q26" s="71">
        <f>$R$25/8</f>
        <v>28182.09491237113</v>
      </c>
      <c r="R26" s="75">
        <f t="shared" si="0"/>
        <v>225456.75929896903</v>
      </c>
      <c r="T26" s="29"/>
    </row>
    <row r="27" spans="1:20" ht="12.75">
      <c r="A27">
        <f>A25+1</f>
        <v>1997</v>
      </c>
      <c r="B27" s="20">
        <f>30.5%-$B$5</f>
        <v>0.30319999999999997</v>
      </c>
      <c r="C27" s="71">
        <f>C26*(1+B27)</f>
        <v>36726.906089802054</v>
      </c>
      <c r="D27" s="19">
        <f>22.5%-$D$5</f>
        <v>0.2225</v>
      </c>
      <c r="E27" s="71">
        <f>E26*(1+D27)</f>
        <v>34452.6110303737</v>
      </c>
      <c r="F27" s="19">
        <f>13%-$F$5</f>
        <v>0.1275</v>
      </c>
      <c r="G27" s="71">
        <f>G26*(1+F27)</f>
        <v>31775.312013698447</v>
      </c>
      <c r="H27" s="20">
        <f>35.2%-$H$5</f>
        <v>0.3502</v>
      </c>
      <c r="I27" s="71">
        <f>I26*(1+H27)</f>
        <v>38051.4645506835</v>
      </c>
      <c r="J27" s="21">
        <f>34.4%-$J$5</f>
        <v>0.34149999999999997</v>
      </c>
      <c r="K27" s="71">
        <f>K26*(1+J27)</f>
        <v>37806.28032494587</v>
      </c>
      <c r="L27" s="21">
        <f>31.8%-$L$5</f>
        <v>0.3155</v>
      </c>
      <c r="M27" s="71">
        <f>M26*(1+L27)</f>
        <v>37073.54585722422</v>
      </c>
      <c r="N27" s="21">
        <f>2.1%-$N$5</f>
        <v>0.0175</v>
      </c>
      <c r="O27" s="71">
        <f>O26*(1+N27)</f>
        <v>28675.281573337626</v>
      </c>
      <c r="P27" s="65">
        <f>20.26%-$P$5</f>
        <v>0.1991</v>
      </c>
      <c r="Q27" s="71">
        <f>Q26*(1+P27)</f>
        <v>33793.15000942422</v>
      </c>
      <c r="R27" s="75">
        <f t="shared" si="0"/>
        <v>278354.55144948966</v>
      </c>
      <c r="T27" s="29">
        <f>(R27-R25)/R25</f>
        <v>0.2346250000000001</v>
      </c>
    </row>
    <row r="28" spans="2:20" ht="12.75">
      <c r="B28" s="20"/>
      <c r="C28" s="71">
        <f>$R$27/8</f>
        <v>34794.31893118621</v>
      </c>
      <c r="D28" s="19"/>
      <c r="E28" s="71">
        <f>$R$27/8</f>
        <v>34794.31893118621</v>
      </c>
      <c r="F28" s="19"/>
      <c r="G28" s="71">
        <f>$R$27/8</f>
        <v>34794.31893118621</v>
      </c>
      <c r="H28" s="20"/>
      <c r="I28" s="71">
        <f>$R$27/8</f>
        <v>34794.31893118621</v>
      </c>
      <c r="J28" s="21"/>
      <c r="K28" s="71">
        <f>$R$27/8</f>
        <v>34794.31893118621</v>
      </c>
      <c r="L28" s="21"/>
      <c r="M28" s="71">
        <f>$R$27/8</f>
        <v>34794.31893118621</v>
      </c>
      <c r="N28" s="21"/>
      <c r="O28" s="71">
        <f>$R$27/8</f>
        <v>34794.31893118621</v>
      </c>
      <c r="P28" s="65"/>
      <c r="Q28" s="71">
        <f>$R$27/8</f>
        <v>34794.31893118621</v>
      </c>
      <c r="R28" s="75">
        <f t="shared" si="0"/>
        <v>278354.5514494897</v>
      </c>
      <c r="T28" s="29"/>
    </row>
    <row r="29" spans="1:20" ht="12.75">
      <c r="A29">
        <f>A27+1</f>
        <v>1998</v>
      </c>
      <c r="B29" s="20">
        <f>38.7%-$B$5</f>
        <v>0.3852</v>
      </c>
      <c r="C29" s="71">
        <f>C28*(1+B29)</f>
        <v>48197.090583479134</v>
      </c>
      <c r="D29" s="19">
        <f>17.9%-$D$5</f>
        <v>0.1765</v>
      </c>
      <c r="E29" s="71">
        <f>E28*(1+D29)</f>
        <v>40935.51622254057</v>
      </c>
      <c r="F29" s="19">
        <f>1.2%-$F$5</f>
        <v>0.0095</v>
      </c>
      <c r="G29" s="71">
        <f>G28*(1+F29)</f>
        <v>35124.86496103248</v>
      </c>
      <c r="H29" s="20">
        <f>15.6%-$H$5</f>
        <v>0.1542</v>
      </c>
      <c r="I29" s="71">
        <f>I28*(1+H29)</f>
        <v>40159.60291037512</v>
      </c>
      <c r="J29" s="21">
        <f>5.1%-$J$5</f>
        <v>0.048499999999999995</v>
      </c>
      <c r="K29" s="71">
        <f>K28*(1+J29)</f>
        <v>36481.84339934874</v>
      </c>
      <c r="L29" s="21">
        <f>-6.5%-$L$5</f>
        <v>-0.0675</v>
      </c>
      <c r="M29" s="71">
        <f>M28*(1+L29)</f>
        <v>32445.70240333114</v>
      </c>
      <c r="N29" s="21">
        <f>20.3%-$N$5</f>
        <v>0.1995</v>
      </c>
      <c r="O29" s="71">
        <f>O28*(1+N29)</f>
        <v>41735.78555795785</v>
      </c>
      <c r="P29" s="65">
        <f>-17.5%-$P$5</f>
        <v>-0.1785</v>
      </c>
      <c r="Q29" s="71">
        <f>Q28*(1+P29)</f>
        <v>28583.53300196947</v>
      </c>
      <c r="R29" s="75">
        <f t="shared" si="0"/>
        <v>303663.9390400345</v>
      </c>
      <c r="T29" s="29">
        <f>(R29-R27)/R27</f>
        <v>0.09092499999999991</v>
      </c>
    </row>
    <row r="30" spans="2:20" ht="12.75">
      <c r="B30" s="20"/>
      <c r="C30" s="71">
        <f>$R$29/8</f>
        <v>37957.99238000431</v>
      </c>
      <c r="D30" s="19"/>
      <c r="E30" s="71">
        <f>$R$29/8</f>
        <v>37957.99238000431</v>
      </c>
      <c r="F30" s="19"/>
      <c r="G30" s="71">
        <f>$R$29/8</f>
        <v>37957.99238000431</v>
      </c>
      <c r="H30" s="20"/>
      <c r="I30" s="71">
        <f>$R$29/8</f>
        <v>37957.99238000431</v>
      </c>
      <c r="J30" s="21"/>
      <c r="K30" s="71">
        <f>$R$29/8</f>
        <v>37957.99238000431</v>
      </c>
      <c r="L30" s="21"/>
      <c r="M30" s="71">
        <f>$R$29/8</f>
        <v>37957.99238000431</v>
      </c>
      <c r="N30" s="21"/>
      <c r="O30" s="71">
        <f>$R$29/8</f>
        <v>37957.99238000431</v>
      </c>
      <c r="P30" s="65"/>
      <c r="Q30" s="71">
        <f>$R$29/8</f>
        <v>37957.99238000431</v>
      </c>
      <c r="R30" s="75">
        <f t="shared" si="0"/>
        <v>303663.9390400345</v>
      </c>
      <c r="T30" s="29"/>
    </row>
    <row r="31" spans="1:20" ht="12.75">
      <c r="A31">
        <f>A29+1</f>
        <v>1999</v>
      </c>
      <c r="B31" s="20">
        <f>33.2%-$B$5</f>
        <v>0.3302</v>
      </c>
      <c r="C31" s="71">
        <f>C30*(1+B31)</f>
        <v>50491.72146388174</v>
      </c>
      <c r="D31" s="19">
        <f>51.3%-$D$5</f>
        <v>0.5105000000000001</v>
      </c>
      <c r="E31" s="71">
        <f>E30*(1+D31)</f>
        <v>57335.54748999651</v>
      </c>
      <c r="F31" s="19">
        <f>43.1%-$F$5</f>
        <v>0.4285</v>
      </c>
      <c r="G31" s="71">
        <f>G30*(1+F31)</f>
        <v>54222.99211483616</v>
      </c>
      <c r="H31" s="20">
        <f>7.4%-$H$5</f>
        <v>0.07220000000000001</v>
      </c>
      <c r="I31" s="71">
        <f>I30*(1+H31)</f>
        <v>40698.55942984062</v>
      </c>
      <c r="J31" s="21">
        <f>-0.1%-$J$5</f>
        <v>-0.0035</v>
      </c>
      <c r="K31" s="71">
        <f>K30*(1+J31)</f>
        <v>37825.139406674294</v>
      </c>
      <c r="L31" s="21">
        <f>-1.5%-$L$5</f>
        <v>-0.017499999999999998</v>
      </c>
      <c r="M31" s="71">
        <f>M30*(1+L31)</f>
        <v>37293.727513354235</v>
      </c>
      <c r="N31" s="21">
        <f>27.3%-$N$5</f>
        <v>0.2695</v>
      </c>
      <c r="O31" s="71">
        <f>O30*(1+N31)</f>
        <v>48187.671326415475</v>
      </c>
      <c r="P31" s="65">
        <f>-4.62%-$P$5</f>
        <v>-0.0497</v>
      </c>
      <c r="Q31" s="71">
        <f>Q30*(1+P31)</f>
        <v>36071.4801587181</v>
      </c>
      <c r="R31" s="75">
        <f t="shared" si="0"/>
        <v>362126.8389037171</v>
      </c>
      <c r="T31" s="29">
        <f>(R31-R29)/R29</f>
        <v>0.19252499999999997</v>
      </c>
    </row>
    <row r="32" spans="2:20" ht="12.75">
      <c r="B32" s="20"/>
      <c r="C32" s="71">
        <f>$R$31/8</f>
        <v>45265.85486296464</v>
      </c>
      <c r="D32" s="19"/>
      <c r="E32" s="71">
        <f>$R$31/8</f>
        <v>45265.85486296464</v>
      </c>
      <c r="F32" s="19"/>
      <c r="G32" s="71">
        <f>$R$31/8</f>
        <v>45265.85486296464</v>
      </c>
      <c r="H32" s="20"/>
      <c r="I32" s="71">
        <f>$R$31/8</f>
        <v>45265.85486296464</v>
      </c>
      <c r="J32" s="21"/>
      <c r="K32" s="71">
        <f>$R$31/8</f>
        <v>45265.85486296464</v>
      </c>
      <c r="L32" s="21"/>
      <c r="M32" s="71">
        <f>$R$31/8</f>
        <v>45265.85486296464</v>
      </c>
      <c r="N32" s="21"/>
      <c r="O32" s="71">
        <f>$R$31/8</f>
        <v>45265.85486296464</v>
      </c>
      <c r="P32" s="65"/>
      <c r="Q32" s="71">
        <f>$R$31/8</f>
        <v>45265.85486296464</v>
      </c>
      <c r="R32" s="75">
        <f t="shared" si="0"/>
        <v>362126.8389037172</v>
      </c>
      <c r="T32" s="29"/>
    </row>
    <row r="33" spans="1:20" ht="12.75">
      <c r="A33">
        <f>A31+1</f>
        <v>2000</v>
      </c>
      <c r="B33" s="20">
        <f>-22.4%-$B$5</f>
        <v>-0.22579999999999997</v>
      </c>
      <c r="C33" s="71">
        <f>C32*(1+B33)</f>
        <v>35044.824834907224</v>
      </c>
      <c r="D33" s="19">
        <f>-11.8%-$D$5</f>
        <v>-0.12050000000000001</v>
      </c>
      <c r="E33" s="71">
        <f>E32*(1+D33)</f>
        <v>39811.3193519774</v>
      </c>
      <c r="F33" s="19">
        <f>-22.4%-$F$5</f>
        <v>-0.22649999999999998</v>
      </c>
      <c r="G33" s="71">
        <f>G32*(1+F33)</f>
        <v>35013.138736503155</v>
      </c>
      <c r="H33" s="20">
        <f>7%-$H$5</f>
        <v>0.06820000000000001</v>
      </c>
      <c r="I33" s="71">
        <f>I32*(1+H33)</f>
        <v>48352.98616461883</v>
      </c>
      <c r="J33" s="21">
        <f>19.2%-$J$5</f>
        <v>0.1895</v>
      </c>
      <c r="K33" s="71">
        <f>K32*(1+J33)</f>
        <v>53843.73435949644</v>
      </c>
      <c r="L33" s="21">
        <f>22.8%-$L$5</f>
        <v>0.2255</v>
      </c>
      <c r="M33" s="71">
        <f>M32*(1+L33)</f>
        <v>55473.30513456317</v>
      </c>
      <c r="N33" s="21">
        <f>-14%-$N$5</f>
        <v>-0.14350000000000002</v>
      </c>
      <c r="O33" s="71">
        <f>O32*(1+N33)</f>
        <v>38770.20469012921</v>
      </c>
      <c r="P33" s="65">
        <f>26.37%-$P$5</f>
        <v>0.2602</v>
      </c>
      <c r="Q33" s="71">
        <f>Q32*(1+P33)</f>
        <v>57044.03029830804</v>
      </c>
      <c r="R33" s="75">
        <f t="shared" si="0"/>
        <v>363353.5435705035</v>
      </c>
      <c r="T33" s="29">
        <f>(R33-R31)/R31</f>
        <v>0.0033875000000000545</v>
      </c>
    </row>
    <row r="34" spans="2:20" ht="12.75">
      <c r="B34" s="20"/>
      <c r="C34" s="71">
        <f>$R$33/8</f>
        <v>45419.192946312935</v>
      </c>
      <c r="D34" s="19"/>
      <c r="E34" s="71">
        <f>$R$33/8</f>
        <v>45419.192946312935</v>
      </c>
      <c r="F34" s="19"/>
      <c r="G34" s="71">
        <f>$R$33/8</f>
        <v>45419.192946312935</v>
      </c>
      <c r="H34" s="20"/>
      <c r="I34" s="71">
        <f>$R$33/8</f>
        <v>45419.192946312935</v>
      </c>
      <c r="J34" s="21"/>
      <c r="K34" s="71">
        <f>$R$33/8</f>
        <v>45419.192946312935</v>
      </c>
      <c r="L34" s="21"/>
      <c r="M34" s="71">
        <f>$R$33/8</f>
        <v>45419.192946312935</v>
      </c>
      <c r="N34" s="21"/>
      <c r="O34" s="71">
        <f>$R$33/8</f>
        <v>45419.192946312935</v>
      </c>
      <c r="P34" s="65"/>
      <c r="Q34" s="71">
        <f>$R$33/8</f>
        <v>45419.192946312935</v>
      </c>
      <c r="R34" s="75">
        <f t="shared" si="0"/>
        <v>363353.54357050353</v>
      </c>
      <c r="T34" s="29"/>
    </row>
    <row r="35" spans="1:20" ht="12.75">
      <c r="A35">
        <f>A33+1</f>
        <v>2001</v>
      </c>
      <c r="B35" s="20">
        <f>-20.4%-$B$5</f>
        <v>-0.20579999999999998</v>
      </c>
      <c r="C35" s="71">
        <f>C34*(1+B35)</f>
        <v>36071.92303796174</v>
      </c>
      <c r="D35" s="19">
        <f>-20.2%-$D$5</f>
        <v>-0.2045</v>
      </c>
      <c r="E35" s="71">
        <f>E34*(1+D35)</f>
        <v>36130.96798879194</v>
      </c>
      <c r="F35" s="19">
        <f>-9.2%-$F$5</f>
        <v>-0.0945</v>
      </c>
      <c r="G35" s="71">
        <f>G34*(1+F35)</f>
        <v>41127.07921288636</v>
      </c>
      <c r="H35" s="20">
        <f>-5.6%-$H$5</f>
        <v>-0.0578</v>
      </c>
      <c r="I35" s="71">
        <f>I34*(1+H35)</f>
        <v>42793.96359401605</v>
      </c>
      <c r="J35" s="21">
        <f>2.3%-$J$5</f>
        <v>0.0205</v>
      </c>
      <c r="K35" s="71">
        <f>K34*(1+J35)</f>
        <v>46350.28640171235</v>
      </c>
      <c r="L35" s="21">
        <f>14%-$L$5</f>
        <v>0.1375</v>
      </c>
      <c r="M35" s="71">
        <f>M34*(1+L35)</f>
        <v>51664.33197643096</v>
      </c>
      <c r="N35" s="21">
        <f>-21.2%-$N$5</f>
        <v>-0.2155</v>
      </c>
      <c r="O35" s="71">
        <f>O34*(1+N35)</f>
        <v>35631.3568663825</v>
      </c>
      <c r="P35" s="65">
        <f>13.93%-$P$5</f>
        <v>0.1358</v>
      </c>
      <c r="Q35" s="71">
        <f>Q34*(1+P35)</f>
        <v>51587.119348422224</v>
      </c>
      <c r="R35" s="75">
        <f t="shared" si="0"/>
        <v>341357.02842660405</v>
      </c>
      <c r="T35" s="29">
        <f>(R35-R33)/R33</f>
        <v>-0.06053750000000019</v>
      </c>
    </row>
    <row r="36" spans="2:20" ht="12.75">
      <c r="B36" s="20"/>
      <c r="C36" s="71">
        <f>$R$35/8</f>
        <v>42669.62855332551</v>
      </c>
      <c r="D36" s="19"/>
      <c r="E36" s="71">
        <f>$R$35/8</f>
        <v>42669.62855332551</v>
      </c>
      <c r="F36" s="19"/>
      <c r="G36" s="71">
        <f>$R$35/8</f>
        <v>42669.62855332551</v>
      </c>
      <c r="H36" s="20"/>
      <c r="I36" s="71">
        <f>$R$35/8</f>
        <v>42669.62855332551</v>
      </c>
      <c r="J36" s="21"/>
      <c r="K36" s="71">
        <f>$R$35/8</f>
        <v>42669.62855332551</v>
      </c>
      <c r="L36" s="21"/>
      <c r="M36" s="71">
        <f>$R$35/8</f>
        <v>42669.62855332551</v>
      </c>
      <c r="N36" s="21"/>
      <c r="O36" s="71">
        <f>$R$35/8</f>
        <v>42669.62855332551</v>
      </c>
      <c r="P36" s="65"/>
      <c r="Q36" s="71">
        <f>$R$35/8</f>
        <v>42669.62855332551</v>
      </c>
      <c r="R36" s="75">
        <f t="shared" si="0"/>
        <v>341357.02842660405</v>
      </c>
      <c r="T36" s="29"/>
    </row>
    <row r="37" spans="1:20" ht="12.75">
      <c r="A37">
        <f>A35+1</f>
        <v>2002</v>
      </c>
      <c r="B37" s="20">
        <f>-27.9%-$B$5</f>
        <v>-0.2808</v>
      </c>
      <c r="C37" s="71">
        <f>C36*(1+B37)</f>
        <v>30687.996855551708</v>
      </c>
      <c r="D37" s="19">
        <f>-27.4%-$D$5</f>
        <v>-0.27649999999999997</v>
      </c>
      <c r="E37" s="71">
        <f>E36*(1+D37)</f>
        <v>30871.476258331004</v>
      </c>
      <c r="F37" s="19">
        <f>-30.3%-$F$5</f>
        <v>-0.3055</v>
      </c>
      <c r="G37" s="71">
        <f>G36*(1+F37)</f>
        <v>29634.057030284566</v>
      </c>
      <c r="H37" s="20">
        <f>-15.5%-$H$5</f>
        <v>-0.1568</v>
      </c>
      <c r="I37" s="71">
        <f>I36*(1+H37)</f>
        <v>35979.030796164065</v>
      </c>
      <c r="J37" s="21">
        <f>-9.6%-$J$5</f>
        <v>-0.0985</v>
      </c>
      <c r="K37" s="71">
        <f>K36*(1+J37)</f>
        <v>38466.67014082294</v>
      </c>
      <c r="L37" s="21">
        <f>-11.4%-$L$5</f>
        <v>-0.1165</v>
      </c>
      <c r="M37" s="71">
        <f>M36*(1+L37)</f>
        <v>37698.616826863086</v>
      </c>
      <c r="N37" s="21">
        <f>-15.7%-$N$5</f>
        <v>-0.1605</v>
      </c>
      <c r="O37" s="71">
        <f>O36*(1+N37)</f>
        <v>35821.153170516765</v>
      </c>
      <c r="P37" s="65">
        <f>3.82%-$P$5</f>
        <v>0.034699999999999995</v>
      </c>
      <c r="Q37" s="71">
        <f>Q36*(1+P37)</f>
        <v>44150.2646641259</v>
      </c>
      <c r="R37" s="75">
        <f t="shared" si="0"/>
        <v>283309.26574266003</v>
      </c>
      <c r="T37" s="29">
        <f>(R37-R35)/R35</f>
        <v>-0.17005</v>
      </c>
    </row>
    <row r="38" spans="2:20" ht="12.75">
      <c r="B38" s="20"/>
      <c r="C38" s="71">
        <f>$R$37/8</f>
        <v>35413.658217832504</v>
      </c>
      <c r="D38" s="19"/>
      <c r="E38" s="71">
        <f>$R$37/8</f>
        <v>35413.658217832504</v>
      </c>
      <c r="F38" s="19"/>
      <c r="G38" s="71">
        <f>$R$37/8</f>
        <v>35413.658217832504</v>
      </c>
      <c r="H38" s="20"/>
      <c r="I38" s="71">
        <f>$R$37/8</f>
        <v>35413.658217832504</v>
      </c>
      <c r="J38" s="21"/>
      <c r="K38" s="71">
        <f>$R$37/8</f>
        <v>35413.658217832504</v>
      </c>
      <c r="L38" s="21"/>
      <c r="M38" s="71">
        <f>$R$37/8</f>
        <v>35413.658217832504</v>
      </c>
      <c r="N38" s="21"/>
      <c r="O38" s="71">
        <f>$R$37/8</f>
        <v>35413.658217832504</v>
      </c>
      <c r="P38" s="65"/>
      <c r="Q38" s="71">
        <f>$R$37/8</f>
        <v>35413.658217832504</v>
      </c>
      <c r="R38" s="75">
        <f t="shared" si="0"/>
        <v>283309.26574266003</v>
      </c>
      <c r="T38" s="29"/>
    </row>
    <row r="39" spans="1:20" ht="12.75">
      <c r="A39">
        <f>A37+1</f>
        <v>2003</v>
      </c>
      <c r="B39" s="20">
        <f>29.8%-$B$5</f>
        <v>0.29619999999999996</v>
      </c>
      <c r="C39" s="71">
        <f>C38*(1+B39)</f>
        <v>45903.183781954496</v>
      </c>
      <c r="D39" s="19">
        <f>42.7%-$D$5</f>
        <v>0.42450000000000004</v>
      </c>
      <c r="E39" s="71">
        <f>E38*(1+D39)</f>
        <v>50446.756131302405</v>
      </c>
      <c r="F39" s="19">
        <f>48.5%-$F$5</f>
        <v>0.4825</v>
      </c>
      <c r="G39" s="71">
        <f>G38*(1+F39)</f>
        <v>52500.74830793669</v>
      </c>
      <c r="H39" s="20">
        <f>30%-$H$5</f>
        <v>0.29819999999999997</v>
      </c>
      <c r="I39" s="71">
        <f>I38*(1+H39)</f>
        <v>45974.01109839016</v>
      </c>
      <c r="J39" s="21">
        <f>38.1%-$J$5</f>
        <v>0.3785</v>
      </c>
      <c r="K39" s="71">
        <f>K38*(1+J39)</f>
        <v>48817.72785328211</v>
      </c>
      <c r="L39" s="21">
        <f>46%-$L$5</f>
        <v>0.4575</v>
      </c>
      <c r="M39" s="71">
        <f>M38*(1+L39)</f>
        <v>51615.40685249087</v>
      </c>
      <c r="N39" s="21">
        <f>39.2%-$N$5</f>
        <v>0.3885</v>
      </c>
      <c r="O39" s="71">
        <f>O38*(1+N39)</f>
        <v>49171.86443546043</v>
      </c>
      <c r="P39" s="65">
        <f>37.13%-$P$5</f>
        <v>0.3678</v>
      </c>
      <c r="Q39" s="71">
        <f>Q38*(1+P39)</f>
        <v>48438.8017103513</v>
      </c>
      <c r="R39" s="75">
        <f t="shared" si="0"/>
        <v>392868.5001711684</v>
      </c>
      <c r="T39" s="29">
        <f>(R39-R37)/R37</f>
        <v>0.38671249999999985</v>
      </c>
    </row>
    <row r="40" spans="2:20" ht="12.75">
      <c r="B40" s="20"/>
      <c r="C40" s="71">
        <f>$R$39/8</f>
        <v>49108.56252139605</v>
      </c>
      <c r="D40" s="19"/>
      <c r="E40" s="71">
        <f>$R$39/8</f>
        <v>49108.56252139605</v>
      </c>
      <c r="F40" s="19"/>
      <c r="G40" s="71">
        <f>$R$39/8</f>
        <v>49108.56252139605</v>
      </c>
      <c r="H40" s="20"/>
      <c r="I40" s="71">
        <f>$R$39/8</f>
        <v>49108.56252139605</v>
      </c>
      <c r="J40" s="21"/>
      <c r="K40" s="71">
        <f>$R$39/8</f>
        <v>49108.56252139605</v>
      </c>
      <c r="L40" s="21"/>
      <c r="M40" s="71">
        <f>$R$39/8</f>
        <v>49108.56252139605</v>
      </c>
      <c r="N40" s="21"/>
      <c r="O40" s="71">
        <f>$R$39/8</f>
        <v>49108.56252139605</v>
      </c>
      <c r="P40" s="65"/>
      <c r="Q40" s="71">
        <f>$R$39/8</f>
        <v>49108.56252139605</v>
      </c>
      <c r="R40" s="75">
        <f t="shared" si="0"/>
        <v>392868.50017116836</v>
      </c>
      <c r="T40" s="29"/>
    </row>
    <row r="41" spans="1:20" ht="12.75">
      <c r="A41">
        <f>A39+1</f>
        <v>2004</v>
      </c>
      <c r="B41" s="20">
        <f>6.3%-$B$5</f>
        <v>0.0612</v>
      </c>
      <c r="C41" s="71">
        <f>C40*(1+B41)</f>
        <v>52114.00654770549</v>
      </c>
      <c r="D41" s="19">
        <f>15.5%-$D$5</f>
        <v>0.1525</v>
      </c>
      <c r="E41" s="71">
        <f>E40*(1+D41)</f>
        <v>56597.61830590895</v>
      </c>
      <c r="F41" s="19">
        <f>14.3%-$F$5</f>
        <v>0.1405</v>
      </c>
      <c r="G41" s="71">
        <f>G40*(1+F41)</f>
        <v>56008.3155556522</v>
      </c>
      <c r="H41" s="20">
        <f>16.5%-$H$5</f>
        <v>0.1632</v>
      </c>
      <c r="I41" s="71">
        <f>I40*(1+H41)</f>
        <v>57123.07992488789</v>
      </c>
      <c r="J41" s="21">
        <f>9.83%-$J$5</f>
        <v>0.0958</v>
      </c>
      <c r="K41" s="71">
        <f>K40*(1+J41)</f>
        <v>53813.162810945796</v>
      </c>
      <c r="L41" s="21">
        <f>5.67%-$L$5</f>
        <v>0.0542</v>
      </c>
      <c r="M41" s="71">
        <f>M40*(1+L41)</f>
        <v>51770.24661005572</v>
      </c>
      <c r="N41" s="21">
        <f>20.7%-$N$5</f>
        <v>0.2035</v>
      </c>
      <c r="O41" s="71">
        <f>O40*(1+N41)</f>
        <v>59102.154994500146</v>
      </c>
      <c r="P41" s="65">
        <f>31.58%-$P$5</f>
        <v>0.31229999999999997</v>
      </c>
      <c r="Q41" s="71">
        <f>Q40*(1+P41)</f>
        <v>64445.16659682804</v>
      </c>
      <c r="R41" s="75">
        <f t="shared" si="0"/>
        <v>450973.7513464843</v>
      </c>
      <c r="T41" s="29">
        <f>(R41-R39)/R39</f>
        <v>0.14790000000000017</v>
      </c>
    </row>
    <row r="42" spans="2:20" ht="12.75">
      <c r="B42" s="20"/>
      <c r="C42" s="71">
        <f>$R$41/8</f>
        <v>56371.71891831054</v>
      </c>
      <c r="D42" s="19"/>
      <c r="E42" s="71">
        <f>$R$41/8</f>
        <v>56371.71891831054</v>
      </c>
      <c r="F42" s="19"/>
      <c r="G42" s="71">
        <f>$R$41/8</f>
        <v>56371.71891831054</v>
      </c>
      <c r="H42" s="20"/>
      <c r="I42" s="71">
        <f>$R$41/8</f>
        <v>56371.71891831054</v>
      </c>
      <c r="J42" s="21"/>
      <c r="K42" s="71">
        <f>$R$41/8</f>
        <v>56371.71891831054</v>
      </c>
      <c r="L42" s="21"/>
      <c r="M42" s="71">
        <f>$R$41/8</f>
        <v>56371.71891831054</v>
      </c>
      <c r="N42" s="21"/>
      <c r="O42" s="71">
        <f>$R$41/8</f>
        <v>56371.71891831054</v>
      </c>
      <c r="P42" s="65"/>
      <c r="Q42" s="71">
        <f>$R$41/8</f>
        <v>56371.71891831054</v>
      </c>
      <c r="R42" s="75">
        <f t="shared" si="0"/>
        <v>450973.7513464843</v>
      </c>
      <c r="T42" s="29"/>
    </row>
    <row r="43" spans="1:20" ht="12.75">
      <c r="A43">
        <v>2005</v>
      </c>
      <c r="B43" s="20">
        <f>4.7%-$B$5</f>
        <v>0.0452</v>
      </c>
      <c r="C43" s="71">
        <f>C42*(1+B43)</f>
        <v>58919.72061341817</v>
      </c>
      <c r="D43" s="19">
        <f>15.2%-$D$5</f>
        <v>0.1495</v>
      </c>
      <c r="E43" s="71">
        <f>E42*(1+D43)</f>
        <v>64799.29089659796</v>
      </c>
      <c r="F43" s="19">
        <f>10.8%-$F$5</f>
        <v>0.10550000000000001</v>
      </c>
      <c r="G43" s="71">
        <f>G42*(1+F43)</f>
        <v>62318.935264192296</v>
      </c>
      <c r="H43" s="20">
        <f>6.3%-$H$5</f>
        <v>0.0612</v>
      </c>
      <c r="I43" s="71">
        <f>I42*(1+H43)</f>
        <v>59821.668116111134</v>
      </c>
      <c r="J43" s="21">
        <f>13.1%-$J$5</f>
        <v>0.1285</v>
      </c>
      <c r="K43" s="71">
        <f>K42*(1+J43)</f>
        <v>63615.484799313446</v>
      </c>
      <c r="L43" s="21">
        <f>7.7%-$L$5</f>
        <v>0.0745</v>
      </c>
      <c r="M43" s="71">
        <f>M42*(1+L43)</f>
        <v>60571.411977724674</v>
      </c>
      <c r="N43" s="21">
        <f>14.13%-$N$5</f>
        <v>0.1378</v>
      </c>
      <c r="O43" s="71">
        <f>O42*(1+N43)</f>
        <v>64139.741785253726</v>
      </c>
      <c r="P43" s="65">
        <f>15.9%-$P$5</f>
        <v>0.1555</v>
      </c>
      <c r="Q43" s="71">
        <f>Q42*(1+P43)</f>
        <v>65137.52121010782</v>
      </c>
      <c r="R43" s="75">
        <f t="shared" si="0"/>
        <v>499323.7746627193</v>
      </c>
      <c r="T43" s="29">
        <f>(R43-R41)/R41</f>
        <v>0.1072125000000001</v>
      </c>
    </row>
    <row r="45" spans="1:20" ht="15.75">
      <c r="A45" t="s">
        <v>16</v>
      </c>
      <c r="B45" s="58">
        <v>0.1136</v>
      </c>
      <c r="T45" s="11"/>
    </row>
    <row r="46" spans="1:2" ht="12.75">
      <c r="A46" t="s">
        <v>2</v>
      </c>
      <c r="B46" s="2">
        <f>$B$3</f>
        <v>80000</v>
      </c>
    </row>
    <row r="47" spans="1:2" ht="12.75">
      <c r="A47">
        <v>1989</v>
      </c>
      <c r="B47" s="2">
        <f>B46*$B$45+B46</f>
        <v>89088</v>
      </c>
    </row>
    <row r="48" spans="1:2" ht="12.75">
      <c r="A48">
        <f>A47+1</f>
        <v>1990</v>
      </c>
      <c r="B48" s="2">
        <f aca="true" t="shared" si="1" ref="B48:B60">B47*$B$45+B47</f>
        <v>99208.3968</v>
      </c>
    </row>
    <row r="49" spans="1:2" ht="12.75">
      <c r="A49">
        <f aca="true" t="shared" si="2" ref="A49:A59">A48+1</f>
        <v>1991</v>
      </c>
      <c r="B49" s="2">
        <f t="shared" si="1"/>
        <v>110478.47067648</v>
      </c>
    </row>
    <row r="50" spans="1:2" ht="12.75">
      <c r="A50">
        <f t="shared" si="2"/>
        <v>1992</v>
      </c>
      <c r="B50" s="2">
        <f t="shared" si="1"/>
        <v>123028.82494532813</v>
      </c>
    </row>
    <row r="51" spans="1:2" ht="12.75">
      <c r="A51">
        <f t="shared" si="2"/>
        <v>1993</v>
      </c>
      <c r="B51" s="2">
        <f t="shared" si="1"/>
        <v>137004.8994591174</v>
      </c>
    </row>
    <row r="52" spans="1:2" ht="12.75">
      <c r="A52">
        <f t="shared" si="2"/>
        <v>1994</v>
      </c>
      <c r="B52" s="2">
        <f t="shared" si="1"/>
        <v>152568.65603767315</v>
      </c>
    </row>
    <row r="53" spans="1:2" ht="12.75">
      <c r="A53">
        <f t="shared" si="2"/>
        <v>1995</v>
      </c>
      <c r="B53" s="2">
        <f t="shared" si="1"/>
        <v>169900.4553635528</v>
      </c>
    </row>
    <row r="54" spans="1:2" ht="12.75">
      <c r="A54">
        <f t="shared" si="2"/>
        <v>1996</v>
      </c>
      <c r="B54" s="2">
        <f t="shared" si="1"/>
        <v>189201.14709285242</v>
      </c>
    </row>
    <row r="55" spans="1:2" ht="12.75">
      <c r="A55">
        <f t="shared" si="2"/>
        <v>1997</v>
      </c>
      <c r="B55" s="2">
        <f t="shared" si="1"/>
        <v>210694.39740260044</v>
      </c>
    </row>
    <row r="56" spans="1:2" ht="12.75">
      <c r="A56">
        <f t="shared" si="2"/>
        <v>1998</v>
      </c>
      <c r="B56" s="2">
        <f t="shared" si="1"/>
        <v>234629.28094753585</v>
      </c>
    </row>
    <row r="57" spans="1:2" ht="12.75">
      <c r="A57">
        <f t="shared" si="2"/>
        <v>1999</v>
      </c>
      <c r="B57" s="2">
        <f t="shared" si="1"/>
        <v>261283.1672631759</v>
      </c>
    </row>
    <row r="58" spans="1:2" ht="12.75">
      <c r="A58">
        <f t="shared" si="2"/>
        <v>2000</v>
      </c>
      <c r="B58" s="2">
        <f t="shared" si="1"/>
        <v>290964.9350642727</v>
      </c>
    </row>
    <row r="59" spans="1:2" ht="12.75">
      <c r="A59">
        <f t="shared" si="2"/>
        <v>2001</v>
      </c>
      <c r="B59" s="2">
        <f t="shared" si="1"/>
        <v>324018.55168757413</v>
      </c>
    </row>
    <row r="60" spans="1:2" ht="12.75">
      <c r="A60">
        <f>A59+1</f>
        <v>2002</v>
      </c>
      <c r="B60" s="2">
        <f t="shared" si="1"/>
        <v>360827.05915928254</v>
      </c>
    </row>
    <row r="61" spans="1:2" ht="12.75">
      <c r="A61">
        <f>A60+1</f>
        <v>2003</v>
      </c>
      <c r="B61" s="2">
        <f>B60*$B$45+B60</f>
        <v>401817.013079777</v>
      </c>
    </row>
    <row r="62" spans="1:2" ht="12.75">
      <c r="A62">
        <f>A61+1</f>
        <v>2004</v>
      </c>
      <c r="B62" s="2">
        <f>B61*$B$45+B61</f>
        <v>447463.4257656397</v>
      </c>
    </row>
    <row r="63" spans="1:2" ht="12.75">
      <c r="A63">
        <f>A62+1</f>
        <v>2005</v>
      </c>
      <c r="B63" s="2">
        <f>B62*$B$45+B62</f>
        <v>498295.2709326164</v>
      </c>
    </row>
  </sheetData>
  <printOptions/>
  <pageMargins left="0.75" right="0.7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U62"/>
  <sheetViews>
    <sheetView zoomScale="90" zoomScaleNormal="90" workbookViewId="0" topLeftCell="A1">
      <pane xSplit="1" ySplit="8" topLeftCell="J9" activePane="bottomRight" state="frozen"/>
      <selection pane="topLeft" activeCell="A1" sqref="A1"/>
      <selection pane="topRight" activeCell="B1" sqref="B1"/>
      <selection pane="bottomLeft" activeCell="A9" sqref="A9"/>
      <selection pane="bottomRight" activeCell="T45" sqref="T45"/>
    </sheetView>
  </sheetViews>
  <sheetFormatPr defaultColWidth="9.140625" defaultRowHeight="12.75"/>
  <cols>
    <col min="1" max="1" width="23.421875" style="0" customWidth="1"/>
    <col min="2" max="2" width="17.7109375" style="0" customWidth="1"/>
    <col min="3" max="3" width="11.140625" style="0" customWidth="1"/>
    <col min="4" max="4" width="14.140625" style="0" customWidth="1"/>
    <col min="5" max="5" width="10.421875" style="0" customWidth="1"/>
    <col min="6" max="6" width="12.7109375" style="0" customWidth="1"/>
    <col min="7" max="7" width="10.28125" style="0" customWidth="1"/>
    <col min="8" max="8" width="15.7109375" style="0" customWidth="1"/>
    <col min="9" max="9" width="10.57421875" style="0" customWidth="1"/>
    <col min="10" max="10" width="14.57421875" style="0" customWidth="1"/>
    <col min="11" max="11" width="9.8515625" style="0" customWidth="1"/>
    <col min="12" max="12" width="15.421875" style="0" customWidth="1"/>
    <col min="13" max="13" width="10.421875" style="0" customWidth="1"/>
    <col min="14" max="14" width="12.7109375" style="0" customWidth="1"/>
    <col min="15" max="15" width="10.7109375" style="0" customWidth="1"/>
    <col min="16" max="16" width="11.28125" style="0" customWidth="1"/>
    <col min="17" max="17" width="10.421875" style="0" customWidth="1"/>
    <col min="18" max="18" width="13.7109375" style="0" customWidth="1"/>
    <col min="20" max="20" width="11.7109375" style="0" customWidth="1"/>
    <col min="21" max="21" width="14.8515625" style="0" customWidth="1"/>
  </cols>
  <sheetData>
    <row r="1" ht="12.75">
      <c r="A1" t="s">
        <v>0</v>
      </c>
    </row>
    <row r="2" spans="1:3" ht="15.75">
      <c r="A2" s="13" t="s">
        <v>2</v>
      </c>
      <c r="B2" s="88">
        <v>80000</v>
      </c>
      <c r="C2" s="22">
        <v>32508</v>
      </c>
    </row>
    <row r="3" spans="1:3" ht="15.75">
      <c r="A3" s="14" t="s">
        <v>11</v>
      </c>
      <c r="B3" s="89">
        <f>R42</f>
        <v>493064.7168899301</v>
      </c>
      <c r="C3" s="22">
        <v>38717</v>
      </c>
    </row>
    <row r="4" spans="1:16" ht="15.75">
      <c r="A4" s="12" t="s">
        <v>15</v>
      </c>
      <c r="B4" s="18">
        <v>0.0018</v>
      </c>
      <c r="C4" s="17" t="s">
        <v>3</v>
      </c>
      <c r="D4" s="18">
        <v>0.0025</v>
      </c>
      <c r="E4" s="17" t="s">
        <v>3</v>
      </c>
      <c r="F4" s="18">
        <v>0.0025</v>
      </c>
      <c r="G4" s="17" t="s">
        <v>3</v>
      </c>
      <c r="H4" s="18">
        <v>0.0018</v>
      </c>
      <c r="I4" s="17" t="s">
        <v>3</v>
      </c>
      <c r="J4" s="18">
        <v>0.0025</v>
      </c>
      <c r="K4" s="17" t="s">
        <v>3</v>
      </c>
      <c r="L4" s="18">
        <v>0.0025</v>
      </c>
      <c r="M4" s="17" t="s">
        <v>3</v>
      </c>
      <c r="N4" s="18">
        <v>0.0035</v>
      </c>
      <c r="P4" s="18">
        <v>0.0035</v>
      </c>
    </row>
    <row r="5" ht="12.75">
      <c r="C5" t="s">
        <v>3</v>
      </c>
    </row>
    <row r="6" spans="1:21" ht="15.75">
      <c r="A6" s="16" t="s">
        <v>14</v>
      </c>
      <c r="C6" s="12">
        <v>5</v>
      </c>
      <c r="E6" s="12">
        <v>4</v>
      </c>
      <c r="G6" s="12">
        <v>8</v>
      </c>
      <c r="I6" s="12">
        <v>2</v>
      </c>
      <c r="K6" s="12">
        <v>7</v>
      </c>
      <c r="M6" s="12">
        <v>3</v>
      </c>
      <c r="O6" s="12">
        <v>1</v>
      </c>
      <c r="Q6" s="12">
        <v>6</v>
      </c>
      <c r="R6" t="s">
        <v>12</v>
      </c>
      <c r="T6" s="3" t="s">
        <v>1</v>
      </c>
      <c r="U6" s="3" t="s">
        <v>28</v>
      </c>
    </row>
    <row r="7" spans="2:21" ht="12.75">
      <c r="B7" s="9" t="s">
        <v>17</v>
      </c>
      <c r="C7" s="5">
        <v>0.1</v>
      </c>
      <c r="D7" s="9" t="s">
        <v>18</v>
      </c>
      <c r="E7" s="5">
        <v>0.1</v>
      </c>
      <c r="F7" s="9" t="s">
        <v>19</v>
      </c>
      <c r="G7" s="5">
        <v>0.06</v>
      </c>
      <c r="H7" s="9" t="s">
        <v>20</v>
      </c>
      <c r="I7" s="5">
        <v>0.2</v>
      </c>
      <c r="J7" s="9" t="s">
        <v>21</v>
      </c>
      <c r="K7" s="5">
        <v>0.1</v>
      </c>
      <c r="L7" s="9" t="s">
        <v>22</v>
      </c>
      <c r="M7" s="5">
        <v>0.14</v>
      </c>
      <c r="N7" s="9" t="s">
        <v>46</v>
      </c>
      <c r="O7" s="5">
        <v>0.2</v>
      </c>
      <c r="P7" s="98" t="s">
        <v>44</v>
      </c>
      <c r="Q7" s="59">
        <v>0.1</v>
      </c>
      <c r="R7" s="60">
        <f>SUM(C7,E7,G7,I7,K7,M7,O7,Q7)</f>
        <v>1.0000000000000002</v>
      </c>
      <c r="T7" s="3" t="s">
        <v>27</v>
      </c>
      <c r="U7" s="3" t="s">
        <v>27</v>
      </c>
    </row>
    <row r="8" spans="1:21" ht="12.75">
      <c r="A8" s="4" t="s">
        <v>3</v>
      </c>
      <c r="B8" s="10" t="s">
        <v>5</v>
      </c>
      <c r="C8" t="s">
        <v>3</v>
      </c>
      <c r="D8" s="10" t="s">
        <v>5</v>
      </c>
      <c r="E8" t="s">
        <v>3</v>
      </c>
      <c r="F8" s="10" t="s">
        <v>5</v>
      </c>
      <c r="G8" t="s">
        <v>3</v>
      </c>
      <c r="H8" s="10" t="s">
        <v>5</v>
      </c>
      <c r="J8" s="10" t="s">
        <v>5</v>
      </c>
      <c r="L8" s="10" t="s">
        <v>5</v>
      </c>
      <c r="N8" s="10" t="s">
        <v>5</v>
      </c>
      <c r="P8" s="10" t="s">
        <v>5</v>
      </c>
      <c r="Q8" s="55"/>
      <c r="U8" s="3" t="s">
        <v>29</v>
      </c>
    </row>
    <row r="9" spans="1:18" ht="12.75">
      <c r="A9" t="s">
        <v>2</v>
      </c>
      <c r="C9" s="71">
        <f>$B$2*C7</f>
        <v>8000</v>
      </c>
      <c r="D9" s="1"/>
      <c r="E9" s="71">
        <f>$B$2*E7</f>
        <v>8000</v>
      </c>
      <c r="F9" s="7" t="s">
        <v>3</v>
      </c>
      <c r="G9" s="71">
        <f>$B$2*G7</f>
        <v>4800</v>
      </c>
      <c r="I9" s="71">
        <f>$B$2*I7</f>
        <v>16000</v>
      </c>
      <c r="J9" s="3" t="s">
        <v>3</v>
      </c>
      <c r="K9" s="71">
        <f>$B$2*K7</f>
        <v>8000</v>
      </c>
      <c r="L9" s="3" t="s">
        <v>3</v>
      </c>
      <c r="M9" s="71">
        <f>$B$2*M7</f>
        <v>11200.000000000002</v>
      </c>
      <c r="N9" s="3" t="s">
        <v>3</v>
      </c>
      <c r="O9" s="71">
        <f>$B$2*O7</f>
        <v>16000</v>
      </c>
      <c r="P9" s="3"/>
      <c r="Q9" s="71">
        <f>$B$2*Q7</f>
        <v>8000</v>
      </c>
      <c r="R9" s="2">
        <f>SUM(C9,E9,G9,I9,K9,M9,O9,Q9)</f>
        <v>80000</v>
      </c>
    </row>
    <row r="10" spans="1:20" ht="12.75">
      <c r="A10">
        <v>1989</v>
      </c>
      <c r="B10" s="19">
        <f>0.359-$B$4</f>
        <v>0.35719999999999996</v>
      </c>
      <c r="C10" s="71">
        <f>C9*(1+B10)</f>
        <v>10857.6</v>
      </c>
      <c r="D10" s="19">
        <f>31.48%-$D$4</f>
        <v>0.3123</v>
      </c>
      <c r="E10" s="71">
        <f>E9*(1+D10)</f>
        <v>10498.4</v>
      </c>
      <c r="F10" s="19">
        <f>20.19%-$F$4</f>
        <v>0.19940000000000002</v>
      </c>
      <c r="G10" s="71">
        <f>G9*(1+F10)</f>
        <v>5757.12</v>
      </c>
      <c r="H10" s="20">
        <f>25.21%-$H$4</f>
        <v>0.25029999999999997</v>
      </c>
      <c r="I10" s="71">
        <f>I9*(1+H10)</f>
        <v>20004.8</v>
      </c>
      <c r="J10" s="20">
        <f>22.69%-$J$4</f>
        <v>0.22440000000000002</v>
      </c>
      <c r="K10" s="71">
        <f>K9*(1+J10)</f>
        <v>9795.199999999999</v>
      </c>
      <c r="L10" s="19">
        <f>12.42%-$L$4</f>
        <v>0.1217</v>
      </c>
      <c r="M10" s="71">
        <f>M9*(1+L10)</f>
        <v>12563.04</v>
      </c>
      <c r="N10" s="20">
        <f>10.8%-$N$4</f>
        <v>0.10450000000000001</v>
      </c>
      <c r="O10" s="71">
        <f>O9*(1+N10)</f>
        <v>17672</v>
      </c>
      <c r="P10" s="19">
        <f>8.84%-$P$4</f>
        <v>0.08489999999999999</v>
      </c>
      <c r="Q10" s="72">
        <f>Q9*(1+P10)</f>
        <v>8679.199999999999</v>
      </c>
      <c r="R10" s="2">
        <f aca="true" t="shared" si="0" ref="R10:R42">SUM(C10,E10,G10,I10,K10,M10,O10,Q10)</f>
        <v>95827.36</v>
      </c>
      <c r="T10" s="21">
        <f>(R10-R9)/R9</f>
        <v>0.19784200000000002</v>
      </c>
    </row>
    <row r="11" spans="2:20" ht="12.75">
      <c r="B11" s="19"/>
      <c r="C11" s="71">
        <f>R10*$C$7</f>
        <v>9582.736</v>
      </c>
      <c r="D11" s="19"/>
      <c r="E11" s="71">
        <f>R10*$E$7</f>
        <v>9582.736</v>
      </c>
      <c r="F11" s="19"/>
      <c r="G11" s="71">
        <f>R10*$G$7</f>
        <v>5749.6416</v>
      </c>
      <c r="H11" s="20"/>
      <c r="I11" s="71">
        <f>R10*$I$7</f>
        <v>19165.472</v>
      </c>
      <c r="J11" s="20"/>
      <c r="K11" s="71">
        <f>R10*$K$7</f>
        <v>9582.736</v>
      </c>
      <c r="L11" s="19"/>
      <c r="M11" s="71">
        <f>R10*$M$7</f>
        <v>13415.8304</v>
      </c>
      <c r="N11" s="20"/>
      <c r="O11" s="71">
        <f>R10*$O$7</f>
        <v>19165.472</v>
      </c>
      <c r="P11" s="19"/>
      <c r="Q11" s="72">
        <f>R10*$Q$7</f>
        <v>9582.736</v>
      </c>
      <c r="R11" s="90">
        <f t="shared" si="0"/>
        <v>95827.36000000002</v>
      </c>
      <c r="T11" s="21"/>
    </row>
    <row r="12" spans="1:20" ht="12.75">
      <c r="A12">
        <v>1990</v>
      </c>
      <c r="B12" s="19">
        <f>-0.0026-$B$4</f>
        <v>-0.004399999999999999</v>
      </c>
      <c r="C12" s="71">
        <f>C11*(1+B12)</f>
        <v>9540.5719616</v>
      </c>
      <c r="D12" s="19">
        <f>-5.1%-$D$4</f>
        <v>-0.0535</v>
      </c>
      <c r="E12" s="71">
        <f>E11*(1+D12)</f>
        <v>9070.059624000001</v>
      </c>
      <c r="F12" s="19">
        <f>-17.42%-$F$4</f>
        <v>-0.17670000000000002</v>
      </c>
      <c r="G12" s="71">
        <f>G11*(1+F12)</f>
        <v>4733.67992928</v>
      </c>
      <c r="H12" s="20">
        <f>-8.1%-$H$4</f>
        <v>-0.0828</v>
      </c>
      <c r="I12" s="71">
        <f>I11*(1+H12)</f>
        <v>17578.5709184</v>
      </c>
      <c r="J12" s="20">
        <f>-16.08%-$J$4</f>
        <v>-0.16329999999999997</v>
      </c>
      <c r="K12" s="71">
        <f>K11*(1+J12)</f>
        <v>8017.875211200001</v>
      </c>
      <c r="L12" s="19">
        <f>-21.77%-$L$4</f>
        <v>-0.2202</v>
      </c>
      <c r="M12" s="71">
        <f>M11*(1+L12)</f>
        <v>10461.66454592</v>
      </c>
      <c r="N12" s="20">
        <f>-23.2%-$N$4</f>
        <v>-0.2355</v>
      </c>
      <c r="O12" s="71">
        <f>O11*(1+N12)</f>
        <v>14652.003344</v>
      </c>
      <c r="P12" s="20">
        <f>-15.34%-$P$4</f>
        <v>-0.1569</v>
      </c>
      <c r="Q12" s="71">
        <f>Q11*(1+P12)</f>
        <v>8079.2047216</v>
      </c>
      <c r="R12" s="2">
        <f t="shared" si="0"/>
        <v>82133.630256</v>
      </c>
      <c r="T12" s="21">
        <f>(R12-R10)/R10</f>
        <v>-0.14289999999999997</v>
      </c>
    </row>
    <row r="13" spans="2:20" ht="12.75">
      <c r="B13" s="19"/>
      <c r="C13" s="71">
        <f>R12*$C$7</f>
        <v>8213.363025600001</v>
      </c>
      <c r="D13" s="19"/>
      <c r="E13" s="71">
        <f>R12*$E$7</f>
        <v>8213.363025600001</v>
      </c>
      <c r="F13" s="19"/>
      <c r="G13" s="71">
        <f>R12*$G$7</f>
        <v>4928.01781536</v>
      </c>
      <c r="H13" s="20"/>
      <c r="I13" s="71">
        <f>R12*$I$7</f>
        <v>16426.726051200003</v>
      </c>
      <c r="J13" s="20"/>
      <c r="K13" s="71">
        <f>R12*$K$7</f>
        <v>8213.363025600001</v>
      </c>
      <c r="L13" s="19"/>
      <c r="M13" s="71">
        <f>R12*$M$7</f>
        <v>11498.708235840002</v>
      </c>
      <c r="N13" s="20"/>
      <c r="O13" s="71">
        <f>R12*$O$7</f>
        <v>16426.726051200003</v>
      </c>
      <c r="P13" s="19"/>
      <c r="Q13" s="72">
        <f>R12*$Q$7</f>
        <v>8213.363025600001</v>
      </c>
      <c r="R13" s="90">
        <f>SUM(C13,E13,G13,I13,K13,M13,O13,Q13)</f>
        <v>82133.63025600002</v>
      </c>
      <c r="T13" s="21"/>
    </row>
    <row r="14" spans="1:20" ht="12.75">
      <c r="A14">
        <v>1991</v>
      </c>
      <c r="B14" s="19">
        <f>0.412-$B$4</f>
        <v>0.41019999999999995</v>
      </c>
      <c r="C14" s="71">
        <f>C13*(1+B14)</f>
        <v>11582.484538701121</v>
      </c>
      <c r="D14" s="19">
        <f>47%-$D$4</f>
        <v>0.46749999999999997</v>
      </c>
      <c r="E14" s="71">
        <f>E13*(1+D14)</f>
        <v>12053.110240068003</v>
      </c>
      <c r="F14" s="19">
        <f>51.2%-$F$4</f>
        <v>0.5095000000000001</v>
      </c>
      <c r="G14" s="71">
        <f>G13*(1+F14)</f>
        <v>7438.84289228592</v>
      </c>
      <c r="H14" s="20">
        <f>24.6%-$H$4</f>
        <v>0.24420000000000003</v>
      </c>
      <c r="I14" s="71">
        <f>I13*(1+H14)</f>
        <v>20438.132552903044</v>
      </c>
      <c r="J14" s="20">
        <f>37.9%-$J$4</f>
        <v>0.3765</v>
      </c>
      <c r="K14" s="71">
        <f>K13*(1+J14)</f>
        <v>11305.694204738402</v>
      </c>
      <c r="L14" s="20">
        <f>41.7%-$L$4</f>
        <v>0.41450000000000004</v>
      </c>
      <c r="M14" s="71">
        <f>M13*(1+L14)</f>
        <v>16264.922799595684</v>
      </c>
      <c r="N14" s="20">
        <f>12.5%-$N$4</f>
        <v>0.1215</v>
      </c>
      <c r="O14" s="71">
        <f>O13*(1+N14)</f>
        <v>18422.5732664208</v>
      </c>
      <c r="P14" s="20">
        <f>35.7%-$P$4</f>
        <v>0.35350000000000004</v>
      </c>
      <c r="Q14" s="71">
        <f>Q13*(1+P14)</f>
        <v>11116.786855149601</v>
      </c>
      <c r="R14" s="2">
        <f t="shared" si="0"/>
        <v>108622.54734986258</v>
      </c>
      <c r="T14" s="21">
        <f>(R14-R12)/R12</f>
        <v>0.3225100000000002</v>
      </c>
    </row>
    <row r="15" spans="2:20" ht="12.75">
      <c r="B15" s="19"/>
      <c r="C15" s="71">
        <f>R14*$C$7</f>
        <v>10862.254734986258</v>
      </c>
      <c r="D15" s="19"/>
      <c r="E15" s="71">
        <f>R14*$E$7</f>
        <v>10862.254734986258</v>
      </c>
      <c r="F15" s="19"/>
      <c r="G15" s="71">
        <f>R14*$G$7</f>
        <v>6517.352840991754</v>
      </c>
      <c r="H15" s="20"/>
      <c r="I15" s="71">
        <f>R14*$I$7</f>
        <v>21724.509469972516</v>
      </c>
      <c r="J15" s="20"/>
      <c r="K15" s="71">
        <f>R14*$K$7</f>
        <v>10862.254734986258</v>
      </c>
      <c r="L15" s="19"/>
      <c r="M15" s="71">
        <f>R14*$M$7</f>
        <v>15207.156628980763</v>
      </c>
      <c r="N15" s="20"/>
      <c r="O15" s="71">
        <f>R14*$O$7</f>
        <v>21724.509469972516</v>
      </c>
      <c r="P15" s="19"/>
      <c r="Q15" s="72">
        <f>R14*$Q$7</f>
        <v>10862.254734986258</v>
      </c>
      <c r="R15" s="2"/>
      <c r="T15" s="21"/>
    </row>
    <row r="16" spans="1:20" ht="12.75">
      <c r="A16">
        <f>A14+1</f>
        <v>1992</v>
      </c>
      <c r="B16" s="20">
        <f>5%-$B$4</f>
        <v>0.0482</v>
      </c>
      <c r="C16" s="71">
        <f>C15*(1+B16)</f>
        <v>11385.815413212596</v>
      </c>
      <c r="D16" s="19">
        <f>8.7%-$D$4</f>
        <v>0.08449999999999999</v>
      </c>
      <c r="E16" s="71">
        <f>E15*(1+D16)</f>
        <v>11780.115260092596</v>
      </c>
      <c r="F16" s="19">
        <f>7.8%-$F$4</f>
        <v>0.0755</v>
      </c>
      <c r="G16" s="71">
        <f>G15*(1+F16)</f>
        <v>7009.412980486632</v>
      </c>
      <c r="H16" s="20">
        <f>13.8%-$H$4</f>
        <v>0.13620000000000002</v>
      </c>
      <c r="I16" s="71">
        <f>I15*(1+H16)</f>
        <v>24683.387659782773</v>
      </c>
      <c r="J16" s="20">
        <f>21.68%-$J$4</f>
        <v>0.2143</v>
      </c>
      <c r="K16" s="71">
        <f>K15*(1+J16)</f>
        <v>13190.035924693811</v>
      </c>
      <c r="L16" s="20">
        <f>29.2%-$L$4</f>
        <v>0.2895</v>
      </c>
      <c r="M16" s="71">
        <f>M15*(1+L16)</f>
        <v>19609.628473070694</v>
      </c>
      <c r="N16" s="20">
        <f>-11.9%-$N$4</f>
        <v>-0.12250000000000001</v>
      </c>
      <c r="O16" s="71">
        <f>O15*(1+N16)</f>
        <v>19063.257059900883</v>
      </c>
      <c r="P16" s="20">
        <f>14.59%-$P$4</f>
        <v>0.1424</v>
      </c>
      <c r="Q16" s="71">
        <f>Q15*(1+P16)</f>
        <v>12409.039809248303</v>
      </c>
      <c r="R16" s="2">
        <f t="shared" si="0"/>
        <v>119130.69258048829</v>
      </c>
      <c r="T16" s="21">
        <f>(R16-R14)/R14</f>
        <v>0.09674000000000006</v>
      </c>
    </row>
    <row r="17" spans="2:20" ht="12.75">
      <c r="B17" s="20"/>
      <c r="C17" s="71">
        <f>R16*$C$7</f>
        <v>11913.06925804883</v>
      </c>
      <c r="D17" s="19"/>
      <c r="E17" s="71">
        <f>R16*$E$7</f>
        <v>11913.06925804883</v>
      </c>
      <c r="F17" s="19"/>
      <c r="G17" s="71">
        <f>R16*$G$7</f>
        <v>7147.841554829297</v>
      </c>
      <c r="H17" s="20"/>
      <c r="I17" s="71">
        <f>R16*$I$7</f>
        <v>23826.13851609766</v>
      </c>
      <c r="J17" s="20"/>
      <c r="K17" s="71">
        <f>R16*$K$7</f>
        <v>11913.06925804883</v>
      </c>
      <c r="L17" s="19"/>
      <c r="M17" s="71">
        <f>R16*$M$7</f>
        <v>16678.296961268363</v>
      </c>
      <c r="N17" s="20"/>
      <c r="O17" s="71">
        <f>R16*$O$7</f>
        <v>23826.13851609766</v>
      </c>
      <c r="P17" s="19"/>
      <c r="Q17" s="72">
        <f>R16*$Q$7</f>
        <v>11913.06925804883</v>
      </c>
      <c r="R17" s="2"/>
      <c r="T17" s="21"/>
    </row>
    <row r="18" spans="1:21" ht="12.75">
      <c r="A18">
        <f>A16+1</f>
        <v>1993</v>
      </c>
      <c r="B18" s="20">
        <f>2.9%-$B$4</f>
        <v>0.0272</v>
      </c>
      <c r="C18" s="71">
        <f>C17*(1+B18)</f>
        <v>12237.104741867757</v>
      </c>
      <c r="D18" s="19">
        <f>11.2%-$D$4</f>
        <v>0.10949999999999999</v>
      </c>
      <c r="E18" s="71">
        <f>E17*(1+D18)</f>
        <v>13217.550341805176</v>
      </c>
      <c r="F18" s="19">
        <f>13.4%-$F$4</f>
        <v>0.1315</v>
      </c>
      <c r="G18" s="71">
        <f>G17*(1+F18)</f>
        <v>8087.782719289349</v>
      </c>
      <c r="H18" s="20">
        <f>18.1%-$H$4</f>
        <v>0.17920000000000003</v>
      </c>
      <c r="I18" s="71">
        <f>I17*(1+H18)</f>
        <v>28095.78253818236</v>
      </c>
      <c r="J18" s="20">
        <f>15.6%-$J$4</f>
        <v>0.1535</v>
      </c>
      <c r="K18" s="71">
        <f>K17*(1+J18)</f>
        <v>13741.725389159325</v>
      </c>
      <c r="L18" s="20">
        <f>23.9%-$L$4</f>
        <v>0.2365</v>
      </c>
      <c r="M18" s="71">
        <f>M17*(1+L18)</f>
        <v>20622.714192608328</v>
      </c>
      <c r="N18" s="20">
        <f>32.9%-$N$4</f>
        <v>0.32549999999999996</v>
      </c>
      <c r="O18" s="71">
        <f>O17*(1+N18)</f>
        <v>31581.546603087445</v>
      </c>
      <c r="P18" s="20">
        <f>19.65%-$P$4</f>
        <v>0.19299999999999998</v>
      </c>
      <c r="Q18" s="71">
        <f>Q17*(1+P18)</f>
        <v>14212.291624852256</v>
      </c>
      <c r="R18" s="2">
        <f t="shared" si="0"/>
        <v>141796.49815085198</v>
      </c>
      <c r="T18" s="21">
        <f>(R18-R16)/R16</f>
        <v>0.19025999999999993</v>
      </c>
      <c r="U18" s="61">
        <f>(R18-R9)/R9/5</f>
        <v>0.15449124537712997</v>
      </c>
    </row>
    <row r="19" spans="2:21" ht="12.75">
      <c r="B19" s="20"/>
      <c r="C19" s="71">
        <f>R18*$C$7</f>
        <v>14179.649815085198</v>
      </c>
      <c r="D19" s="19"/>
      <c r="E19" s="71">
        <f>R18*$E$7</f>
        <v>14179.649815085198</v>
      </c>
      <c r="F19" s="19"/>
      <c r="G19" s="71">
        <f>R18*$G$7</f>
        <v>8507.789889051119</v>
      </c>
      <c r="H19" s="20"/>
      <c r="I19" s="71">
        <f>R18*$I$7</f>
        <v>28359.299630170397</v>
      </c>
      <c r="J19" s="20"/>
      <c r="K19" s="71">
        <f>R18*$K$7</f>
        <v>14179.649815085198</v>
      </c>
      <c r="L19" s="19"/>
      <c r="M19" s="71">
        <f>R18*$M$7</f>
        <v>19851.50974111928</v>
      </c>
      <c r="N19" s="20"/>
      <c r="O19" s="71">
        <f>R18*$O$7</f>
        <v>28359.299630170397</v>
      </c>
      <c r="P19" s="19"/>
      <c r="Q19" s="72">
        <f>R18*$Q$7</f>
        <v>14179.649815085198</v>
      </c>
      <c r="R19" s="2"/>
      <c r="T19" s="21"/>
      <c r="U19" s="61"/>
    </row>
    <row r="20" spans="1:21" ht="12.75">
      <c r="A20">
        <f>A18+1</f>
        <v>1994</v>
      </c>
      <c r="B20" s="20">
        <f>2.6%-$B$4</f>
        <v>0.024200000000000003</v>
      </c>
      <c r="C20" s="71">
        <f>C19*(1+B20)</f>
        <v>14522.797340610261</v>
      </c>
      <c r="D20" s="19">
        <f>-2.2%-$D$4</f>
        <v>-0.0245</v>
      </c>
      <c r="E20" s="71">
        <f>E19*(1+D20)</f>
        <v>13832.248394615612</v>
      </c>
      <c r="F20" s="19">
        <f>-2.4%-$F$4</f>
        <v>-0.0265</v>
      </c>
      <c r="G20" s="71">
        <f>G19*(1+F20)</f>
        <v>8282.333456991264</v>
      </c>
      <c r="H20" s="20">
        <f>-2%-$H$4</f>
        <v>-0.0218</v>
      </c>
      <c r="I20" s="71">
        <f>I19*(1+H20)</f>
        <v>27741.066898232682</v>
      </c>
      <c r="J20" s="20">
        <f>-2.1%-$J$4</f>
        <v>-0.0235</v>
      </c>
      <c r="K20" s="71">
        <f>K19*(1+J20)</f>
        <v>13846.428044430697</v>
      </c>
      <c r="L20" s="20">
        <f>-1.5%-$L$4</f>
        <v>-0.017499999999999998</v>
      </c>
      <c r="M20" s="71">
        <f>M19*(1+L20)</f>
        <v>19504.108320649695</v>
      </c>
      <c r="N20" s="20">
        <f>8.1%-$N$4</f>
        <v>0.0775</v>
      </c>
      <c r="O20" s="71">
        <f>O19*(1+N20)</f>
        <v>30557.1453515086</v>
      </c>
      <c r="P20" s="20">
        <f>3.17%-$P$4</f>
        <v>0.0282</v>
      </c>
      <c r="Q20" s="71">
        <f>Q19*(1+P20)</f>
        <v>14579.515939870602</v>
      </c>
      <c r="R20" s="2">
        <f t="shared" si="0"/>
        <v>142865.64374690942</v>
      </c>
      <c r="T20" s="21">
        <f>(R20-R18)/R18</f>
        <v>0.007540000000000103</v>
      </c>
      <c r="U20" s="61">
        <f>(R20-R10)/R10/5</f>
        <v>0.09817297220106955</v>
      </c>
    </row>
    <row r="21" spans="2:21" ht="12.75">
      <c r="B21" s="20"/>
      <c r="C21" s="71">
        <f>R20*$C$7</f>
        <v>14286.564374690943</v>
      </c>
      <c r="D21" s="19"/>
      <c r="E21" s="71">
        <f>R20*$E$7</f>
        <v>14286.564374690943</v>
      </c>
      <c r="F21" s="19"/>
      <c r="G21" s="71">
        <f>R20*$G$7</f>
        <v>8571.938624814566</v>
      </c>
      <c r="H21" s="20"/>
      <c r="I21" s="71">
        <f>R20*$I$7</f>
        <v>28573.128749381885</v>
      </c>
      <c r="J21" s="20"/>
      <c r="K21" s="71">
        <f>R20*$K$7</f>
        <v>14286.564374690943</v>
      </c>
      <c r="L21" s="19"/>
      <c r="M21" s="71">
        <f>R20*$M$7</f>
        <v>20001.19012456732</v>
      </c>
      <c r="N21" s="20"/>
      <c r="O21" s="71">
        <f>R20*$O$7</f>
        <v>28573.128749381885</v>
      </c>
      <c r="P21" s="19"/>
      <c r="Q21" s="72">
        <f>R20*$Q$7</f>
        <v>14286.564374690943</v>
      </c>
      <c r="R21" s="2"/>
      <c r="T21" s="21"/>
      <c r="U21" s="61"/>
    </row>
    <row r="22" spans="1:21" ht="12.75">
      <c r="A22">
        <f>A20+1</f>
        <v>1995</v>
      </c>
      <c r="B22" s="20">
        <f>37.2%-$B$4</f>
        <v>0.37020000000000003</v>
      </c>
      <c r="C22" s="71">
        <f>C21*(1+B22)</f>
        <v>19575.45050620153</v>
      </c>
      <c r="D22" s="19">
        <f>34%-$D$4</f>
        <v>0.3375</v>
      </c>
      <c r="E22" s="71">
        <f>E21*(1+D22)</f>
        <v>19108.279851149135</v>
      </c>
      <c r="F22" s="19">
        <f>31%-$F$4</f>
        <v>0.3075</v>
      </c>
      <c r="G22" s="71">
        <f>G21*(1+F22)</f>
        <v>11207.809751945046</v>
      </c>
      <c r="H22" s="20">
        <f>38.4%-$H$4</f>
        <v>0.3822</v>
      </c>
      <c r="I22" s="71">
        <f>I21*(1+H22)</f>
        <v>39493.77855739564</v>
      </c>
      <c r="J22" s="20">
        <f>34.9%-$J$4</f>
        <v>0.3465</v>
      </c>
      <c r="K22" s="71">
        <f>K21*(1+J22)</f>
        <v>19236.858930521354</v>
      </c>
      <c r="L22" s="20">
        <f>25.8%-$L$4</f>
        <v>0.2555</v>
      </c>
      <c r="M22" s="71">
        <f>M21*(1+L22)</f>
        <v>25111.494201394275</v>
      </c>
      <c r="N22" s="20">
        <f>11.6%-$N$4</f>
        <v>0.11249999999999999</v>
      </c>
      <c r="O22" s="71">
        <f>O21*(1+N22)</f>
        <v>31787.60573368735</v>
      </c>
      <c r="P22" s="20">
        <f>15.27%-$P$4</f>
        <v>0.1492</v>
      </c>
      <c r="Q22" s="71">
        <f>Q21*(1+P22)</f>
        <v>16418.11977939483</v>
      </c>
      <c r="R22" s="2">
        <f t="shared" si="0"/>
        <v>181939.39731168916</v>
      </c>
      <c r="T22" s="21">
        <f>(R22-R20)/R20</f>
        <v>0.2735</v>
      </c>
      <c r="U22" s="61">
        <f>(R22-R12)/R12/5</f>
        <v>0.24303264507999306</v>
      </c>
    </row>
    <row r="23" spans="2:21" ht="12.75">
      <c r="B23" s="20"/>
      <c r="C23" s="71">
        <f>R22*$C$7</f>
        <v>18193.939731168917</v>
      </c>
      <c r="D23" s="19"/>
      <c r="E23" s="71">
        <f>R22*$E$7</f>
        <v>18193.939731168917</v>
      </c>
      <c r="F23" s="19"/>
      <c r="G23" s="71">
        <f>R22*$G$7</f>
        <v>10916.363838701349</v>
      </c>
      <c r="H23" s="20"/>
      <c r="I23" s="71">
        <f>R22*$I$7</f>
        <v>36387.879462337834</v>
      </c>
      <c r="J23" s="20"/>
      <c r="K23" s="71">
        <f>R22*$K$7</f>
        <v>18193.939731168917</v>
      </c>
      <c r="L23" s="19"/>
      <c r="M23" s="71">
        <f>R22*$M$7</f>
        <v>25471.515623636486</v>
      </c>
      <c r="N23" s="20"/>
      <c r="O23" s="71">
        <f>R22*$O$7</f>
        <v>36387.879462337834</v>
      </c>
      <c r="P23" s="19"/>
      <c r="Q23" s="72">
        <f>R22*$Q$7</f>
        <v>18193.939731168917</v>
      </c>
      <c r="R23" s="2"/>
      <c r="T23" s="21"/>
      <c r="U23" s="61"/>
    </row>
    <row r="24" spans="1:21" ht="12.75">
      <c r="A24">
        <f>A22+1</f>
        <v>1996</v>
      </c>
      <c r="B24" s="20">
        <f>23.1%-$B$4</f>
        <v>0.22920000000000001</v>
      </c>
      <c r="C24" s="71">
        <f>C23*(1+B24)</f>
        <v>22363.990717552835</v>
      </c>
      <c r="D24" s="19">
        <f>17.5%-$D$4</f>
        <v>0.1725</v>
      </c>
      <c r="E24" s="71">
        <f>E23*(1+D24)</f>
        <v>21332.394334795554</v>
      </c>
      <c r="F24" s="19">
        <f>11.3%-$F$4</f>
        <v>0.1105</v>
      </c>
      <c r="G24" s="71">
        <f>G23*(1+F24)</f>
        <v>12122.622042877849</v>
      </c>
      <c r="H24" s="20">
        <f>21.6%-$H$4</f>
        <v>0.21420000000000003</v>
      </c>
      <c r="I24" s="71">
        <f>I23*(1+H24)</f>
        <v>44182.163243170595</v>
      </c>
      <c r="J24" s="20">
        <f>20.3%-$J$4</f>
        <v>0.2005</v>
      </c>
      <c r="K24" s="71">
        <f>K23*(1+J24)</f>
        <v>21841.824647268284</v>
      </c>
      <c r="L24" s="20">
        <f>21.4%-$L$4</f>
        <v>0.2115</v>
      </c>
      <c r="M24" s="71">
        <f>M23*(1+L24)</f>
        <v>30858.7411780356</v>
      </c>
      <c r="N24" s="20">
        <f>6.4%-$N$4</f>
        <v>0.0605</v>
      </c>
      <c r="O24" s="71">
        <f>O23*(1+N24)</f>
        <v>38589.34616980927</v>
      </c>
      <c r="P24" s="20">
        <f>35.27%-$P$4</f>
        <v>0.3492</v>
      </c>
      <c r="Q24" s="71">
        <f>Q23*(1+P24)</f>
        <v>24547.2634852931</v>
      </c>
      <c r="R24" s="2">
        <f t="shared" si="0"/>
        <v>215838.3458188031</v>
      </c>
      <c r="T24" s="21">
        <f>(R24-R22)/R22</f>
        <v>0.18632000000000007</v>
      </c>
      <c r="U24" s="61">
        <f>(R24-R14)/R14/5</f>
        <v>0.1974098400097522</v>
      </c>
    </row>
    <row r="25" spans="2:21" ht="12.75">
      <c r="B25" s="20"/>
      <c r="C25" s="71">
        <f>R24*$C$7</f>
        <v>21583.83458188031</v>
      </c>
      <c r="D25" s="19"/>
      <c r="E25" s="71">
        <f>R24*$E$7</f>
        <v>21583.83458188031</v>
      </c>
      <c r="F25" s="19"/>
      <c r="G25" s="71">
        <f>R24*$G$7</f>
        <v>12950.300749128184</v>
      </c>
      <c r="H25" s="20"/>
      <c r="I25" s="71">
        <f>R24*$I$7</f>
        <v>43167.66916376062</v>
      </c>
      <c r="J25" s="20"/>
      <c r="K25" s="71">
        <f>R24*$K$7</f>
        <v>21583.83458188031</v>
      </c>
      <c r="L25" s="19"/>
      <c r="M25" s="71">
        <f>R24*$M$7</f>
        <v>30217.368414632438</v>
      </c>
      <c r="N25" s="20"/>
      <c r="O25" s="71">
        <f>R24*$O$7</f>
        <v>43167.66916376062</v>
      </c>
      <c r="P25" s="19"/>
      <c r="Q25" s="72">
        <f>R24*$Q$7</f>
        <v>21583.83458188031</v>
      </c>
      <c r="R25" s="2"/>
      <c r="T25" s="21"/>
      <c r="U25" s="61"/>
    </row>
    <row r="26" spans="1:21" ht="12.75">
      <c r="A26">
        <f>A24+1</f>
        <v>1997</v>
      </c>
      <c r="B26" s="20">
        <f>30.5%-$B$4</f>
        <v>0.30319999999999997</v>
      </c>
      <c r="C26" s="71">
        <f>C25*(1+B26)</f>
        <v>28128.05322710642</v>
      </c>
      <c r="D26" s="19">
        <f>22.5%-$D$4</f>
        <v>0.2225</v>
      </c>
      <c r="E26" s="71">
        <f>E25*(1+D26)</f>
        <v>26386.237776348677</v>
      </c>
      <c r="F26" s="19">
        <f>13%-$F$4</f>
        <v>0.1275</v>
      </c>
      <c r="G26" s="71">
        <f>G25*(1+F26)</f>
        <v>14601.464094642028</v>
      </c>
      <c r="H26" s="20">
        <f>35.2%-$H$4</f>
        <v>0.3502</v>
      </c>
      <c r="I26" s="71">
        <f>I25*(1+H26)</f>
        <v>58284.986904909594</v>
      </c>
      <c r="J26" s="20">
        <f>34.4%-$J$4</f>
        <v>0.34149999999999997</v>
      </c>
      <c r="K26" s="71">
        <f>K25*(1+J26)</f>
        <v>28954.714091592436</v>
      </c>
      <c r="L26" s="20">
        <f>31.8%-$L$4</f>
        <v>0.3155</v>
      </c>
      <c r="M26" s="71">
        <f>M25*(1+L26)</f>
        <v>39750.948149448974</v>
      </c>
      <c r="N26" s="20">
        <f>2.1%-$N$4</f>
        <v>0.0175</v>
      </c>
      <c r="O26" s="71">
        <f>O25*(1+N26)</f>
        <v>43923.10337412643</v>
      </c>
      <c r="P26" s="20">
        <f>20.26%-$P$4</f>
        <v>0.1991</v>
      </c>
      <c r="Q26" s="71">
        <f>Q25*(1+P26)</f>
        <v>25881.17604713268</v>
      </c>
      <c r="R26" s="2">
        <f t="shared" si="0"/>
        <v>265910.68366530724</v>
      </c>
      <c r="T26" s="21">
        <f>(R26-R24)/R24</f>
        <v>0.23199000000000009</v>
      </c>
      <c r="U26" s="61">
        <f>(R26-R16)/R16/5</f>
        <v>0.24641842988640392</v>
      </c>
    </row>
    <row r="27" spans="2:21" ht="12.75">
      <c r="B27" s="20"/>
      <c r="C27" s="71">
        <f>R26*$C$7</f>
        <v>26591.068366530726</v>
      </c>
      <c r="D27" s="19"/>
      <c r="E27" s="71">
        <f>R26*$E$7</f>
        <v>26591.068366530726</v>
      </c>
      <c r="F27" s="19"/>
      <c r="G27" s="71">
        <f>R26*$G$7</f>
        <v>15954.641019918434</v>
      </c>
      <c r="H27" s="20"/>
      <c r="I27" s="71">
        <f>R26*$I$7</f>
        <v>53182.13673306145</v>
      </c>
      <c r="J27" s="20"/>
      <c r="K27" s="71">
        <f>R26*$K$7</f>
        <v>26591.068366530726</v>
      </c>
      <c r="L27" s="19"/>
      <c r="M27" s="71">
        <f>R26*$M$7</f>
        <v>37227.49571314302</v>
      </c>
      <c r="N27" s="20"/>
      <c r="O27" s="71">
        <f>R26*$O$7</f>
        <v>53182.13673306145</v>
      </c>
      <c r="P27" s="19"/>
      <c r="Q27" s="72">
        <f>R26*$Q$7</f>
        <v>26591.068366530726</v>
      </c>
      <c r="R27" s="2"/>
      <c r="T27" s="21"/>
      <c r="U27" s="61"/>
    </row>
    <row r="28" spans="1:21" ht="12.75">
      <c r="A28">
        <f>A26+1</f>
        <v>1998</v>
      </c>
      <c r="B28" s="20">
        <f>38.7%-$B$4</f>
        <v>0.3852</v>
      </c>
      <c r="C28" s="71">
        <f>C27*(1+B28)</f>
        <v>36833.94790131836</v>
      </c>
      <c r="D28" s="19">
        <f>17.9%-$D$4</f>
        <v>0.1765</v>
      </c>
      <c r="E28" s="71">
        <f>E27*(1+D28)</f>
        <v>31284.391933223396</v>
      </c>
      <c r="F28" s="19">
        <f>1.2%-$F$4</f>
        <v>0.0095</v>
      </c>
      <c r="G28" s="71">
        <f>G27*(1+F28)</f>
        <v>16106.21010960766</v>
      </c>
      <c r="H28" s="20">
        <f>15.6%-$H$4</f>
        <v>0.1542</v>
      </c>
      <c r="I28" s="71">
        <f>I27*(1+H28)</f>
        <v>61382.82221729952</v>
      </c>
      <c r="J28" s="20">
        <f>5.1%-$J$4</f>
        <v>0.048499999999999995</v>
      </c>
      <c r="K28" s="71">
        <f>K27*(1+J28)</f>
        <v>27880.735182307464</v>
      </c>
      <c r="L28" s="20">
        <f>-6.5%-$L$4</f>
        <v>-0.0675</v>
      </c>
      <c r="M28" s="71">
        <f>M27*(1+L28)</f>
        <v>34714.639752505864</v>
      </c>
      <c r="N28" s="20">
        <f>20.3%-$N$4</f>
        <v>0.1995</v>
      </c>
      <c r="O28" s="71">
        <f>O27*(1+N28)</f>
        <v>63791.973011307215</v>
      </c>
      <c r="P28" s="20">
        <f>-17.5%-$P$4</f>
        <v>-0.1785</v>
      </c>
      <c r="Q28" s="71">
        <f>Q27*(1+P28)</f>
        <v>21844.562663104993</v>
      </c>
      <c r="R28" s="2">
        <f t="shared" si="0"/>
        <v>293839.28277067444</v>
      </c>
      <c r="T28" s="21">
        <f>(R28-R26)/R26</f>
        <v>0.10502999999999994</v>
      </c>
      <c r="U28" s="61">
        <f>(R28-R18)/R18/5</f>
        <v>0.21445210086651056</v>
      </c>
    </row>
    <row r="29" spans="2:21" ht="12.75">
      <c r="B29" s="20"/>
      <c r="C29" s="71">
        <f>R28*$C$7</f>
        <v>29383.928277067447</v>
      </c>
      <c r="D29" s="19"/>
      <c r="E29" s="71">
        <f>R28*$E$7</f>
        <v>29383.928277067447</v>
      </c>
      <c r="F29" s="19"/>
      <c r="G29" s="71">
        <f>R28*$G$7</f>
        <v>17630.356966240466</v>
      </c>
      <c r="H29" s="20"/>
      <c r="I29" s="71">
        <f>R28*$I$7</f>
        <v>58767.856554134894</v>
      </c>
      <c r="J29" s="20"/>
      <c r="K29" s="71">
        <f>R28*$K$7</f>
        <v>29383.928277067447</v>
      </c>
      <c r="L29" s="19"/>
      <c r="M29" s="71">
        <f>R28*$M$7</f>
        <v>41137.499587894425</v>
      </c>
      <c r="N29" s="20"/>
      <c r="O29" s="71">
        <f>R28*$O$7</f>
        <v>58767.856554134894</v>
      </c>
      <c r="P29" s="19"/>
      <c r="Q29" s="72">
        <f>R28*$Q$7</f>
        <v>29383.928277067447</v>
      </c>
      <c r="R29" s="2"/>
      <c r="T29" s="21"/>
      <c r="U29" s="61"/>
    </row>
    <row r="30" spans="1:21" ht="12.75">
      <c r="A30">
        <f>A28+1</f>
        <v>1999</v>
      </c>
      <c r="B30" s="20">
        <f>33.2%-$B$4</f>
        <v>0.3302</v>
      </c>
      <c r="C30" s="71">
        <f>C29*(1+B30)</f>
        <v>39086.50139415512</v>
      </c>
      <c r="D30" s="19">
        <f>51.3%-$D$4</f>
        <v>0.5105000000000001</v>
      </c>
      <c r="E30" s="71">
        <f>E29*(1+D30)</f>
        <v>44384.42366251038</v>
      </c>
      <c r="F30" s="19">
        <f>43.1%-$F$4</f>
        <v>0.4285</v>
      </c>
      <c r="G30" s="71">
        <f>G29*(1+F30)</f>
        <v>25184.964926274508</v>
      </c>
      <c r="H30" s="20">
        <f>7.4%-$H$4</f>
        <v>0.07220000000000001</v>
      </c>
      <c r="I30" s="71">
        <f>I29*(1+H30)</f>
        <v>63010.89579734344</v>
      </c>
      <c r="J30" s="20">
        <f>-0.1%-$J$4</f>
        <v>-0.0035</v>
      </c>
      <c r="K30" s="71">
        <f>K29*(1+J30)</f>
        <v>29281.084528097712</v>
      </c>
      <c r="L30" s="20">
        <f>-1.5%-$L$4</f>
        <v>-0.017499999999999998</v>
      </c>
      <c r="M30" s="71">
        <f>M29*(1+L30)</f>
        <v>40417.593345106274</v>
      </c>
      <c r="N30" s="20">
        <f>27.3%-$N$4</f>
        <v>0.2695</v>
      </c>
      <c r="O30" s="71">
        <f>O29*(1+N30)</f>
        <v>74605.79389547426</v>
      </c>
      <c r="P30" s="20">
        <f>-4.62%-$P$4</f>
        <v>-0.0497</v>
      </c>
      <c r="Q30" s="71">
        <f>Q29*(1+P30)</f>
        <v>27923.547041697195</v>
      </c>
      <c r="R30" s="2">
        <f t="shared" si="0"/>
        <v>343894.80459065887</v>
      </c>
      <c r="T30" s="21">
        <f>(R30-R28)/R28</f>
        <v>0.1703500000000001</v>
      </c>
      <c r="U30" s="61">
        <f>(R30-R20)/R20/5</f>
        <v>0.28142407869575464</v>
      </c>
    </row>
    <row r="31" spans="2:21" ht="12.75">
      <c r="B31" s="20"/>
      <c r="C31" s="71">
        <f>R30*$C$7</f>
        <v>34389.48045906589</v>
      </c>
      <c r="D31" s="19"/>
      <c r="E31" s="71">
        <f>R30*$E$7</f>
        <v>34389.48045906589</v>
      </c>
      <c r="F31" s="19"/>
      <c r="G31" s="71">
        <f>R30*$G$7</f>
        <v>20633.68827543953</v>
      </c>
      <c r="H31" s="20"/>
      <c r="I31" s="71">
        <f>R30*$I$7</f>
        <v>68778.96091813178</v>
      </c>
      <c r="J31" s="20"/>
      <c r="K31" s="71">
        <f>R30*$K$7</f>
        <v>34389.48045906589</v>
      </c>
      <c r="L31" s="19"/>
      <c r="M31" s="71">
        <f>R30*$M$7</f>
        <v>48145.272642692245</v>
      </c>
      <c r="N31" s="20"/>
      <c r="O31" s="71">
        <f>R30*$O$7</f>
        <v>68778.96091813178</v>
      </c>
      <c r="P31" s="19"/>
      <c r="Q31" s="72">
        <f>R30*$Q$7</f>
        <v>34389.48045906589</v>
      </c>
      <c r="R31" s="2"/>
      <c r="T31" s="21"/>
      <c r="U31" s="61"/>
    </row>
    <row r="32" spans="1:21" ht="12.75">
      <c r="A32">
        <f>A30+1</f>
        <v>2000</v>
      </c>
      <c r="B32" s="20">
        <f>-22.4%-$B$4</f>
        <v>-0.22579999999999997</v>
      </c>
      <c r="C32" s="71">
        <f>C31*(1+B32)</f>
        <v>26624.335771408812</v>
      </c>
      <c r="D32" s="19">
        <f>-11.8%-$D$4</f>
        <v>-0.12050000000000001</v>
      </c>
      <c r="E32" s="71">
        <f>E31*(1+D32)</f>
        <v>30245.548063748447</v>
      </c>
      <c r="F32" s="19">
        <f>-22.4%-$F$4</f>
        <v>-0.22649999999999998</v>
      </c>
      <c r="G32" s="71">
        <f>G31*(1+F32)</f>
        <v>15960.157881052479</v>
      </c>
      <c r="H32" s="20">
        <f>7%-$H$4</f>
        <v>0.06820000000000001</v>
      </c>
      <c r="I32" s="71">
        <f>I31*(1+H32)</f>
        <v>73469.68605274837</v>
      </c>
      <c r="J32" s="20">
        <f>19.2%-$J$4</f>
        <v>0.1895</v>
      </c>
      <c r="K32" s="71">
        <f>K31*(1+J32)</f>
        <v>40906.287006058876</v>
      </c>
      <c r="L32" s="20">
        <f>22.8%-$L$4</f>
        <v>0.2255</v>
      </c>
      <c r="M32" s="71">
        <f>M31*(1+L32)</f>
        <v>59002.03162361935</v>
      </c>
      <c r="N32" s="20">
        <f>-14%-$N$4</f>
        <v>-0.14350000000000002</v>
      </c>
      <c r="O32" s="71">
        <f>O31*(1+N32)</f>
        <v>58909.18002637987</v>
      </c>
      <c r="P32" s="20">
        <f>26.37%-$P$4</f>
        <v>0.2602</v>
      </c>
      <c r="Q32" s="71">
        <f>Q31*(1+P32)</f>
        <v>43337.62327451483</v>
      </c>
      <c r="R32" s="2">
        <f t="shared" si="0"/>
        <v>348454.849699531</v>
      </c>
      <c r="T32" s="21">
        <f>(R32-R30)/R30</f>
        <v>0.013259999999999942</v>
      </c>
      <c r="U32" s="61">
        <f>(R32-R22)/R22/5</f>
        <v>0.18304496425540662</v>
      </c>
    </row>
    <row r="33" spans="2:21" ht="12.75">
      <c r="B33" s="20"/>
      <c r="C33" s="71">
        <f>R32*$C$7</f>
        <v>34845.4849699531</v>
      </c>
      <c r="D33" s="19"/>
      <c r="E33" s="71">
        <f>R32*$E$7</f>
        <v>34845.4849699531</v>
      </c>
      <c r="F33" s="19"/>
      <c r="G33" s="71">
        <f>R32*$G$7</f>
        <v>20907.29098197186</v>
      </c>
      <c r="H33" s="20"/>
      <c r="I33" s="71">
        <f>R32*$I$7</f>
        <v>69690.9699399062</v>
      </c>
      <c r="J33" s="20"/>
      <c r="K33" s="71">
        <f>R32*$K$7</f>
        <v>34845.4849699531</v>
      </c>
      <c r="L33" s="19"/>
      <c r="M33" s="71">
        <f>R32*$M$7</f>
        <v>48783.678957934346</v>
      </c>
      <c r="N33" s="20"/>
      <c r="O33" s="71">
        <f>R32*$O$7</f>
        <v>69690.9699399062</v>
      </c>
      <c r="P33" s="19"/>
      <c r="Q33" s="72">
        <f>R32*$Q$7</f>
        <v>34845.4849699531</v>
      </c>
      <c r="R33" s="2"/>
      <c r="T33" s="21"/>
      <c r="U33" s="61"/>
    </row>
    <row r="34" spans="1:21" ht="12.75">
      <c r="A34">
        <f>A32+1</f>
        <v>2001</v>
      </c>
      <c r="B34" s="20">
        <f>-20.4%-$B$4</f>
        <v>-0.20579999999999998</v>
      </c>
      <c r="C34" s="71">
        <f>C33*(1+B34)</f>
        <v>27674.284163136752</v>
      </c>
      <c r="D34" s="19">
        <f>-20.2%-$D$4</f>
        <v>-0.2045</v>
      </c>
      <c r="E34" s="71">
        <f>E33*(1+D34)</f>
        <v>27719.583293597687</v>
      </c>
      <c r="F34" s="19">
        <f>-9.2%-$F$4</f>
        <v>-0.0945</v>
      </c>
      <c r="G34" s="71">
        <f>G33*(1+F34)</f>
        <v>18931.551984175516</v>
      </c>
      <c r="H34" s="20">
        <f>-5.6%-$H$4</f>
        <v>-0.0578</v>
      </c>
      <c r="I34" s="71">
        <f>I33*(1+H34)</f>
        <v>65662.83187737962</v>
      </c>
      <c r="J34" s="20">
        <f>2.3%-$J$4</f>
        <v>0.0205</v>
      </c>
      <c r="K34" s="71">
        <f>K33*(1+J34)</f>
        <v>35559.81741183713</v>
      </c>
      <c r="L34" s="20">
        <f>14%-$L$4</f>
        <v>0.1375</v>
      </c>
      <c r="M34" s="71">
        <f>M33*(1+L34)</f>
        <v>55491.43481465032</v>
      </c>
      <c r="N34" s="20">
        <f>-21.2%-$N$4</f>
        <v>-0.2155</v>
      </c>
      <c r="O34" s="71">
        <f>O33*(1+N34)</f>
        <v>54672.56591785641</v>
      </c>
      <c r="P34" s="20">
        <f>13.93%-$P$4</f>
        <v>0.1358</v>
      </c>
      <c r="Q34" s="71">
        <f>Q33*(1+P34)</f>
        <v>39577.50182887272</v>
      </c>
      <c r="R34" s="2">
        <f t="shared" si="0"/>
        <v>325289.5712915062</v>
      </c>
      <c r="T34" s="21">
        <f>(R34-R32)/R32</f>
        <v>-0.06647999999999997</v>
      </c>
      <c r="U34" s="61">
        <f>(R34-R24)/R24/5</f>
        <v>0.1014196296376249</v>
      </c>
    </row>
    <row r="35" spans="2:21" ht="12.75">
      <c r="B35" s="20"/>
      <c r="C35" s="71">
        <f>R34*$C$7</f>
        <v>32528.957129150618</v>
      </c>
      <c r="D35" s="19"/>
      <c r="E35" s="71">
        <f>R34*$E$7</f>
        <v>32528.957129150618</v>
      </c>
      <c r="F35" s="19"/>
      <c r="G35" s="71">
        <f>R34*$G$7</f>
        <v>19517.37427749037</v>
      </c>
      <c r="H35" s="20"/>
      <c r="I35" s="71">
        <f>R34*$I$7</f>
        <v>65057.914258301236</v>
      </c>
      <c r="J35" s="20"/>
      <c r="K35" s="71">
        <f>R34*$K$7</f>
        <v>32528.957129150618</v>
      </c>
      <c r="L35" s="19"/>
      <c r="M35" s="71">
        <f>R34*$M$7</f>
        <v>45540.53998081087</v>
      </c>
      <c r="N35" s="20"/>
      <c r="O35" s="71">
        <f>R34*$O$7</f>
        <v>65057.914258301236</v>
      </c>
      <c r="P35" s="19"/>
      <c r="Q35" s="72">
        <f>R34*$Q$7</f>
        <v>32528.957129150618</v>
      </c>
      <c r="R35" s="2"/>
      <c r="T35" s="21"/>
      <c r="U35" s="61"/>
    </row>
    <row r="36" spans="1:21" ht="12.75">
      <c r="A36">
        <f>A34+1</f>
        <v>2002</v>
      </c>
      <c r="B36" s="20">
        <f>-27.9%-$B$4</f>
        <v>-0.2808</v>
      </c>
      <c r="C36" s="71">
        <f>C35*(1+B36)</f>
        <v>23394.825967285127</v>
      </c>
      <c r="D36" s="19">
        <f>-27.4%-$D$4</f>
        <v>-0.27649999999999997</v>
      </c>
      <c r="E36" s="71">
        <f>E35*(1+D36)</f>
        <v>23534.700482940472</v>
      </c>
      <c r="F36" s="19">
        <f>-30.3%-$F$4</f>
        <v>-0.3055</v>
      </c>
      <c r="G36" s="71">
        <f>G35*(1+F36)</f>
        <v>13554.81643571706</v>
      </c>
      <c r="H36" s="20">
        <f>-15.5%-$H$4</f>
        <v>-0.1568</v>
      </c>
      <c r="I36" s="71">
        <f>I35*(1+H36)</f>
        <v>54856.833302599596</v>
      </c>
      <c r="J36" s="20">
        <f>-9.6%-$J$4</f>
        <v>-0.0985</v>
      </c>
      <c r="K36" s="71">
        <f>K35*(1+J36)</f>
        <v>29324.85485192928</v>
      </c>
      <c r="L36" s="20">
        <f>-11.4%-$L$4</f>
        <v>-0.1165</v>
      </c>
      <c r="M36" s="71">
        <f>M35*(1+L36)</f>
        <v>40235.067073046404</v>
      </c>
      <c r="N36" s="20">
        <f>-15.7%-$N$4</f>
        <v>-0.1605</v>
      </c>
      <c r="O36" s="71">
        <f>O35*(1+N36)</f>
        <v>54616.11901984389</v>
      </c>
      <c r="P36" s="20">
        <f>3.82%-$P$4</f>
        <v>0.034699999999999995</v>
      </c>
      <c r="Q36" s="71">
        <f>Q35*(1+P36)</f>
        <v>33657.71194153214</v>
      </c>
      <c r="R36" s="2">
        <f t="shared" si="0"/>
        <v>273174.929074894</v>
      </c>
      <c r="T36" s="21">
        <f>(R36-R34)/R34</f>
        <v>-0.1602099999999999</v>
      </c>
      <c r="U36" s="61">
        <f>(R36-R26)/R26/5</f>
        <v>0.005463673222494526</v>
      </c>
    </row>
    <row r="37" spans="2:21" ht="12.75">
      <c r="B37" s="20"/>
      <c r="C37" s="71">
        <f>R36*$C$7</f>
        <v>27317.492907489403</v>
      </c>
      <c r="D37" s="19"/>
      <c r="E37" s="71">
        <f>R36*$E$7</f>
        <v>27317.492907489403</v>
      </c>
      <c r="F37" s="19"/>
      <c r="G37" s="71">
        <f>R36*$G$7</f>
        <v>16390.49574449364</v>
      </c>
      <c r="H37" s="20"/>
      <c r="I37" s="71">
        <f>R36*$I$7</f>
        <v>54634.985814978805</v>
      </c>
      <c r="J37" s="20"/>
      <c r="K37" s="71">
        <f>R36*$K$7</f>
        <v>27317.492907489403</v>
      </c>
      <c r="L37" s="19"/>
      <c r="M37" s="71">
        <f>R36*$M$7</f>
        <v>38244.49007048516</v>
      </c>
      <c r="N37" s="20"/>
      <c r="O37" s="71">
        <f>R36*$O$7</f>
        <v>54634.985814978805</v>
      </c>
      <c r="P37" s="19"/>
      <c r="Q37" s="72">
        <f>R36*$Q$7</f>
        <v>27317.492907489403</v>
      </c>
      <c r="R37" s="2"/>
      <c r="T37" s="21"/>
      <c r="U37" s="61"/>
    </row>
    <row r="38" spans="1:21" ht="12.75">
      <c r="A38">
        <f>A36+1</f>
        <v>2003</v>
      </c>
      <c r="B38" s="20">
        <f>29.8%-$B$4</f>
        <v>0.29619999999999996</v>
      </c>
      <c r="C38" s="71">
        <f>C37*(1+B38)</f>
        <v>35408.93430668776</v>
      </c>
      <c r="D38" s="19">
        <f>42.7%-$D$4</f>
        <v>0.42450000000000004</v>
      </c>
      <c r="E38" s="71">
        <f>E37*(1+D38)</f>
        <v>38913.76864671866</v>
      </c>
      <c r="F38" s="19">
        <f>48.5%-$F$4</f>
        <v>0.4825</v>
      </c>
      <c r="G38" s="71">
        <f>G37*(1+F38)</f>
        <v>24298.909941211823</v>
      </c>
      <c r="H38" s="20">
        <f>30%-$H$4</f>
        <v>0.29819999999999997</v>
      </c>
      <c r="I38" s="71">
        <f>I37*(1+H38)</f>
        <v>70927.13858500548</v>
      </c>
      <c r="J38" s="20">
        <f>38.1%-$J$4</f>
        <v>0.3785</v>
      </c>
      <c r="K38" s="71">
        <f>K37*(1+J38)</f>
        <v>37657.163972974144</v>
      </c>
      <c r="L38" s="20">
        <f>46%-$L$4</f>
        <v>0.4575</v>
      </c>
      <c r="M38" s="71">
        <f>M37*(1+L38)</f>
        <v>55741.344277732125</v>
      </c>
      <c r="N38" s="20">
        <f>39.2%-$N$4</f>
        <v>0.3885</v>
      </c>
      <c r="O38" s="71">
        <f>O37*(1+N38)</f>
        <v>75860.67780409807</v>
      </c>
      <c r="P38" s="20">
        <f>37.13%-$P$4</f>
        <v>0.3678</v>
      </c>
      <c r="Q38" s="71">
        <f>Q37*(1+P38)</f>
        <v>37364.866798864</v>
      </c>
      <c r="R38" s="2">
        <f t="shared" si="0"/>
        <v>376172.804333292</v>
      </c>
      <c r="T38" s="21">
        <f>(R38-R36)/R36</f>
        <v>0.37703999999999993</v>
      </c>
      <c r="U38" s="61">
        <f>(R38-R28)/R28/5</f>
        <v>0.05603983292245809</v>
      </c>
    </row>
    <row r="39" spans="2:21" ht="12.75">
      <c r="B39" s="20"/>
      <c r="C39" s="71">
        <f>R38*$C$7</f>
        <v>37617.2804333292</v>
      </c>
      <c r="D39" s="19"/>
      <c r="E39" s="71">
        <f>R38*$E$7</f>
        <v>37617.2804333292</v>
      </c>
      <c r="F39" s="19"/>
      <c r="G39" s="71">
        <f>R38*$G$7</f>
        <v>22570.368259997518</v>
      </c>
      <c r="H39" s="20"/>
      <c r="I39" s="71">
        <f>R38*$I$7</f>
        <v>75234.5608666584</v>
      </c>
      <c r="J39" s="20"/>
      <c r="K39" s="71">
        <f>R38*$K$7</f>
        <v>37617.2804333292</v>
      </c>
      <c r="L39" s="19"/>
      <c r="M39" s="71">
        <f>R38*$M$7</f>
        <v>52664.19260666089</v>
      </c>
      <c r="N39" s="20"/>
      <c r="O39" s="71">
        <f>R38*$O$7</f>
        <v>75234.5608666584</v>
      </c>
      <c r="P39" s="19"/>
      <c r="Q39" s="72">
        <f>R38*$Q$7</f>
        <v>37617.2804333292</v>
      </c>
      <c r="R39" s="2"/>
      <c r="T39" s="21"/>
      <c r="U39" s="61"/>
    </row>
    <row r="40" spans="1:21" ht="12.75">
      <c r="A40">
        <f>A38+1</f>
        <v>2004</v>
      </c>
      <c r="B40" s="20">
        <f>6.3%-$B$4</f>
        <v>0.0612</v>
      </c>
      <c r="C40" s="71">
        <f>C39*(1+B40)</f>
        <v>39919.45799584894</v>
      </c>
      <c r="D40" s="19">
        <f>15.5%-$D$4</f>
        <v>0.1525</v>
      </c>
      <c r="E40" s="71">
        <f>E39*(1+D40)</f>
        <v>43353.915699411904</v>
      </c>
      <c r="F40" s="19">
        <f>14.3%-$F$4</f>
        <v>0.1405</v>
      </c>
      <c r="G40" s="71">
        <f>G39*(1+F40)</f>
        <v>25741.50500052717</v>
      </c>
      <c r="H40" s="20">
        <f>16.5%-$H$4</f>
        <v>0.1632</v>
      </c>
      <c r="I40" s="71">
        <f>I39*(1+H40)</f>
        <v>87512.84120009706</v>
      </c>
      <c r="J40" s="20">
        <f>23.7%-$J$4</f>
        <v>0.2345</v>
      </c>
      <c r="K40" s="71">
        <f>K39*(1+J40)</f>
        <v>46438.53269494489</v>
      </c>
      <c r="L40" s="20">
        <f>22.3%-$L$4</f>
        <v>0.2205</v>
      </c>
      <c r="M40" s="71">
        <f>M39*(1+L40)</f>
        <v>64276.64707642961</v>
      </c>
      <c r="N40" s="20">
        <f>20.7%-$N$4</f>
        <v>0.2035</v>
      </c>
      <c r="O40" s="71">
        <f>O39*(1+N40)</f>
        <v>90544.79400302339</v>
      </c>
      <c r="P40" s="20">
        <f>31.58%-$P$4</f>
        <v>0.31229999999999997</v>
      </c>
      <c r="Q40" s="71">
        <f>Q39*(1+P40)</f>
        <v>49365.15711265791</v>
      </c>
      <c r="R40" s="2">
        <f t="shared" si="0"/>
        <v>447152.85078294086</v>
      </c>
      <c r="T40" s="21">
        <f>(R40-R38)/R38</f>
        <v>0.18868999999999997</v>
      </c>
      <c r="U40" s="61">
        <f>(R40-R30)/R30/5</f>
        <v>0.060052111758530924</v>
      </c>
    </row>
    <row r="41" spans="2:21" ht="12.75">
      <c r="B41" s="20"/>
      <c r="C41" s="71">
        <f>R40*$C$7</f>
        <v>44715.28507829409</v>
      </c>
      <c r="D41" s="19"/>
      <c r="E41" s="71">
        <f>R40*$E$7</f>
        <v>44715.28507829409</v>
      </c>
      <c r="F41" s="19"/>
      <c r="G41" s="71">
        <f>R40*$G$7</f>
        <v>26829.17104697645</v>
      </c>
      <c r="H41" s="20"/>
      <c r="I41" s="71">
        <f>R40*$I$7</f>
        <v>89430.57015658818</v>
      </c>
      <c r="J41" s="20"/>
      <c r="K41" s="71">
        <f>R40*$K$7</f>
        <v>44715.28507829409</v>
      </c>
      <c r="L41" s="19"/>
      <c r="M41" s="71">
        <f>R40*$M$7</f>
        <v>62601.399109611724</v>
      </c>
      <c r="N41" s="20"/>
      <c r="O41" s="71">
        <f>R40*$O$7</f>
        <v>89430.57015658818</v>
      </c>
      <c r="P41" s="19"/>
      <c r="Q41" s="72">
        <f>R40*$Q$7</f>
        <v>44715.28507829409</v>
      </c>
      <c r="R41" s="2"/>
      <c r="T41" s="21"/>
      <c r="U41" s="61"/>
    </row>
    <row r="42" spans="1:21" ht="12.75">
      <c r="A42" t="s">
        <v>36</v>
      </c>
      <c r="B42" s="20">
        <f>5.23%-$B$4</f>
        <v>0.0505</v>
      </c>
      <c r="C42" s="71">
        <f>C41*(1+B42)</f>
        <v>46973.40697474794</v>
      </c>
      <c r="D42" s="19">
        <f>13.54%-$D$4</f>
        <v>0.1329</v>
      </c>
      <c r="E42" s="71">
        <f>E41*(1+D42)</f>
        <v>50657.94646519937</v>
      </c>
      <c r="F42" s="19">
        <f>11.19%-$F$4</f>
        <v>0.1094</v>
      </c>
      <c r="G42" s="71">
        <f>G41*(1+F42)</f>
        <v>29764.282359515673</v>
      </c>
      <c r="H42" s="20">
        <f>6.27%-$H$4</f>
        <v>0.06089999999999999</v>
      </c>
      <c r="I42" s="71">
        <f>I41*(1+H42)</f>
        <v>94876.89187912439</v>
      </c>
      <c r="J42" s="20">
        <f>11.81%-$J$4</f>
        <v>0.11560000000000001</v>
      </c>
      <c r="K42" s="71">
        <f>K41*(1+J42)</f>
        <v>49884.37203334488</v>
      </c>
      <c r="L42" s="20">
        <f>7.83%-$L$4</f>
        <v>0.07579999999999999</v>
      </c>
      <c r="M42" s="71">
        <f>M41*(1+L42)</f>
        <v>67346.5851621203</v>
      </c>
      <c r="N42" s="20">
        <f>14.7%-$N$4</f>
        <v>0.1435</v>
      </c>
      <c r="O42" s="71">
        <f>O41*(1+N42)</f>
        <v>102263.85697405858</v>
      </c>
      <c r="P42" s="20">
        <f>15.07%-$P$4</f>
        <v>0.1472</v>
      </c>
      <c r="Q42" s="71">
        <f>Q41*(1+P42)</f>
        <v>51297.375041818974</v>
      </c>
      <c r="R42" s="2">
        <f t="shared" si="0"/>
        <v>493064.7168899301</v>
      </c>
      <c r="T42" s="21">
        <f>(R42-R40)/R40</f>
        <v>0.10267599999999995</v>
      </c>
      <c r="U42" s="61">
        <f>(R42-R32)/R32/5</f>
        <v>0.08300063397888977</v>
      </c>
    </row>
    <row r="44" spans="1:2" ht="15.75">
      <c r="A44" t="s">
        <v>16</v>
      </c>
      <c r="B44" s="58">
        <v>0.1129</v>
      </c>
    </row>
    <row r="45" spans="1:2" ht="12.75">
      <c r="A45" t="s">
        <v>2</v>
      </c>
      <c r="B45" s="2">
        <v>80000</v>
      </c>
    </row>
    <row r="46" spans="1:2" ht="12.75">
      <c r="A46">
        <v>1989</v>
      </c>
      <c r="B46" s="2">
        <f>B45*$B$44+B45</f>
        <v>89032</v>
      </c>
    </row>
    <row r="47" spans="1:2" ht="12.75">
      <c r="A47">
        <v>1990</v>
      </c>
      <c r="B47" s="2">
        <f aca="true" t="shared" si="1" ref="B47:B62">B46*$B$44+B46</f>
        <v>99083.7128</v>
      </c>
    </row>
    <row r="48" spans="1:2" ht="12.75">
      <c r="A48">
        <v>1991</v>
      </c>
      <c r="B48" s="2">
        <f t="shared" si="1"/>
        <v>110270.26397511999</v>
      </c>
    </row>
    <row r="49" spans="1:2" ht="12.75">
      <c r="A49">
        <f>A48+1</f>
        <v>1992</v>
      </c>
      <c r="B49" s="2">
        <f t="shared" si="1"/>
        <v>122719.77677791103</v>
      </c>
    </row>
    <row r="50" spans="1:2" ht="12.75">
      <c r="A50">
        <f aca="true" t="shared" si="2" ref="A50:A58">A49+1</f>
        <v>1993</v>
      </c>
      <c r="B50" s="2">
        <f t="shared" si="1"/>
        <v>136574.8395761372</v>
      </c>
    </row>
    <row r="51" spans="1:2" ht="12.75">
      <c r="A51">
        <f t="shared" si="2"/>
        <v>1994</v>
      </c>
      <c r="B51" s="2">
        <f t="shared" si="1"/>
        <v>151994.13896428308</v>
      </c>
    </row>
    <row r="52" spans="1:2" ht="12.75">
      <c r="A52">
        <f t="shared" si="2"/>
        <v>1995</v>
      </c>
      <c r="B52" s="2">
        <f t="shared" si="1"/>
        <v>169154.27725335065</v>
      </c>
    </row>
    <row r="53" spans="1:2" ht="12.75">
      <c r="A53">
        <f t="shared" si="2"/>
        <v>1996</v>
      </c>
      <c r="B53" s="2">
        <f t="shared" si="1"/>
        <v>188251.79515525393</v>
      </c>
    </row>
    <row r="54" spans="1:2" ht="12.75">
      <c r="A54">
        <f t="shared" si="2"/>
        <v>1997</v>
      </c>
      <c r="B54" s="2">
        <f t="shared" si="1"/>
        <v>209505.4228282821</v>
      </c>
    </row>
    <row r="55" spans="1:2" ht="12.75">
      <c r="A55">
        <f t="shared" si="2"/>
        <v>1998</v>
      </c>
      <c r="B55" s="2">
        <f t="shared" si="1"/>
        <v>233158.58506559517</v>
      </c>
    </row>
    <row r="56" spans="1:2" ht="12.75">
      <c r="A56">
        <f t="shared" si="2"/>
        <v>1999</v>
      </c>
      <c r="B56" s="2">
        <f t="shared" si="1"/>
        <v>259482.18931950087</v>
      </c>
    </row>
    <row r="57" spans="1:2" ht="12.75">
      <c r="A57">
        <f t="shared" si="2"/>
        <v>2000</v>
      </c>
      <c r="B57" s="2">
        <f t="shared" si="1"/>
        <v>288777.7284936725</v>
      </c>
    </row>
    <row r="58" spans="1:2" ht="12.75">
      <c r="A58">
        <f t="shared" si="2"/>
        <v>2001</v>
      </c>
      <c r="B58" s="2">
        <f t="shared" si="1"/>
        <v>321380.7340406081</v>
      </c>
    </row>
    <row r="59" spans="1:2" ht="12.75">
      <c r="A59">
        <f>A58+1</f>
        <v>2002</v>
      </c>
      <c r="B59" s="2">
        <f t="shared" si="1"/>
        <v>357664.6189137928</v>
      </c>
    </row>
    <row r="60" spans="1:2" ht="12.75">
      <c r="A60">
        <f>A59+1</f>
        <v>2003</v>
      </c>
      <c r="B60" s="2">
        <f t="shared" si="1"/>
        <v>398044.95438916</v>
      </c>
    </row>
    <row r="61" spans="1:2" ht="12.75">
      <c r="A61">
        <f>A60+1</f>
        <v>2004</v>
      </c>
      <c r="B61" s="2">
        <f t="shared" si="1"/>
        <v>442984.22973969614</v>
      </c>
    </row>
    <row r="62" spans="1:2" ht="12.75">
      <c r="A62">
        <f>A61+1</f>
        <v>2005</v>
      </c>
      <c r="B62" s="2">
        <f t="shared" si="1"/>
        <v>492997.14927730785</v>
      </c>
    </row>
  </sheetData>
  <printOptions/>
  <pageMargins left="0.47" right="0.37" top="0.26" bottom="0.32" header="0.5" footer="0.33"/>
  <pageSetup horizontalDpi="300" verticalDpi="300" orientation="landscape" scale="70" r:id="rId1"/>
</worksheet>
</file>

<file path=xl/worksheets/sheet5.xml><?xml version="1.0" encoding="utf-8"?>
<worksheet xmlns="http://schemas.openxmlformats.org/spreadsheetml/2006/main" xmlns:r="http://schemas.openxmlformats.org/officeDocument/2006/relationships">
  <dimension ref="A1:AB51"/>
  <sheetViews>
    <sheetView workbookViewId="0" topLeftCell="A1">
      <selection activeCell="AA10" sqref="AA10:AA30"/>
    </sheetView>
  </sheetViews>
  <sheetFormatPr defaultColWidth="9.140625" defaultRowHeight="12.75"/>
  <cols>
    <col min="1" max="1" width="15.57421875" style="0" customWidth="1"/>
    <col min="2" max="2" width="10.28125" style="0" customWidth="1"/>
    <col min="27" max="27" width="7.140625" style="0" customWidth="1"/>
  </cols>
  <sheetData>
    <row r="1" ht="12.75">
      <c r="A1" t="s">
        <v>0</v>
      </c>
    </row>
    <row r="2" spans="1:8" ht="12.75">
      <c r="A2" s="81" t="s">
        <v>2</v>
      </c>
      <c r="B2" s="87">
        <v>80000</v>
      </c>
      <c r="D2" t="s">
        <v>48</v>
      </c>
      <c r="E2" s="60">
        <v>0.25</v>
      </c>
      <c r="H2" t="s">
        <v>50</v>
      </c>
    </row>
    <row r="3" spans="1:4" ht="12.75">
      <c r="A3" s="81" t="s">
        <v>11</v>
      </c>
      <c r="B3" s="87">
        <f>Z30</f>
        <v>525433.0515769604</v>
      </c>
      <c r="D3" t="s">
        <v>47</v>
      </c>
    </row>
    <row r="4" spans="1:23" ht="12.75">
      <c r="A4" s="81" t="s">
        <v>15</v>
      </c>
      <c r="B4" s="91">
        <v>0.0018</v>
      </c>
      <c r="C4" s="92" t="s">
        <v>3</v>
      </c>
      <c r="D4" s="92"/>
      <c r="E4" s="91">
        <v>0.0025</v>
      </c>
      <c r="F4" s="92"/>
      <c r="G4" s="92" t="s">
        <v>3</v>
      </c>
      <c r="H4" s="91">
        <v>0.0025</v>
      </c>
      <c r="I4" s="92" t="s">
        <v>3</v>
      </c>
      <c r="J4" s="92"/>
      <c r="K4" s="91">
        <v>0.0018</v>
      </c>
      <c r="L4" s="92"/>
      <c r="M4" s="92" t="s">
        <v>3</v>
      </c>
      <c r="N4" s="91">
        <v>0.0025</v>
      </c>
      <c r="O4" s="92"/>
      <c r="P4" s="92"/>
      <c r="Q4" s="91">
        <v>0.0025</v>
      </c>
      <c r="R4" s="92"/>
      <c r="S4" s="92"/>
      <c r="T4" s="91">
        <v>0.0035</v>
      </c>
      <c r="U4" s="92"/>
      <c r="V4" s="92"/>
      <c r="W4" s="91">
        <v>0.0035</v>
      </c>
    </row>
    <row r="5" spans="1:26" ht="12.75">
      <c r="A5" t="s">
        <v>1</v>
      </c>
      <c r="C5" s="82">
        <v>5</v>
      </c>
      <c r="F5" s="82">
        <v>4</v>
      </c>
      <c r="I5" s="82">
        <v>6</v>
      </c>
      <c r="L5" s="82">
        <v>3</v>
      </c>
      <c r="O5" s="82">
        <v>2</v>
      </c>
      <c r="R5" s="82">
        <v>1</v>
      </c>
      <c r="U5" s="82">
        <v>7</v>
      </c>
      <c r="X5" s="82">
        <v>8</v>
      </c>
      <c r="Z5" t="s">
        <v>12</v>
      </c>
    </row>
    <row r="6" spans="2:28" ht="12.75">
      <c r="B6" s="83" t="s">
        <v>4</v>
      </c>
      <c r="C6" s="60">
        <v>0.1</v>
      </c>
      <c r="D6" t="s">
        <v>13</v>
      </c>
      <c r="E6" s="83" t="s">
        <v>6</v>
      </c>
      <c r="F6" s="60">
        <v>0.1</v>
      </c>
      <c r="G6" t="s">
        <v>13</v>
      </c>
      <c r="H6" s="83" t="s">
        <v>38</v>
      </c>
      <c r="I6" s="60">
        <v>0.06</v>
      </c>
      <c r="K6" s="83" t="s">
        <v>7</v>
      </c>
      <c r="L6" s="60">
        <v>0.2</v>
      </c>
      <c r="N6" s="83" t="s">
        <v>8</v>
      </c>
      <c r="O6" s="60">
        <v>0.1</v>
      </c>
      <c r="Q6" s="83" t="s">
        <v>9</v>
      </c>
      <c r="R6" s="60">
        <v>0.14</v>
      </c>
      <c r="T6" s="83" t="s">
        <v>10</v>
      </c>
      <c r="U6" s="60">
        <v>0.2</v>
      </c>
      <c r="W6" s="83" t="s">
        <v>43</v>
      </c>
      <c r="X6" s="60">
        <v>0.1</v>
      </c>
      <c r="Z6" s="60">
        <v>1</v>
      </c>
      <c r="AA6" t="s">
        <v>49</v>
      </c>
      <c r="AB6" t="s">
        <v>25</v>
      </c>
    </row>
    <row r="7" spans="1:28" ht="12.75">
      <c r="A7" t="s">
        <v>3</v>
      </c>
      <c r="B7" s="83" t="s">
        <v>5</v>
      </c>
      <c r="C7" s="84">
        <f>C6*$E$2</f>
        <v>0.025</v>
      </c>
      <c r="E7" s="83" t="s">
        <v>5</v>
      </c>
      <c r="F7" s="84">
        <f>F6*$E$2</f>
        <v>0.025</v>
      </c>
      <c r="H7" s="83" t="s">
        <v>5</v>
      </c>
      <c r="I7" s="84">
        <f>I6*$E$2</f>
        <v>0.015</v>
      </c>
      <c r="K7" s="83" t="s">
        <v>5</v>
      </c>
      <c r="L7" s="84">
        <f>L6*$E$2</f>
        <v>0.05</v>
      </c>
      <c r="N7" s="83" t="s">
        <v>5</v>
      </c>
      <c r="O7" s="84">
        <f>O6*$E$2</f>
        <v>0.025</v>
      </c>
      <c r="Q7" s="83" t="s">
        <v>5</v>
      </c>
      <c r="R7" s="84">
        <f>R6*$E$2</f>
        <v>0.035</v>
      </c>
      <c r="T7" s="83" t="s">
        <v>5</v>
      </c>
      <c r="U7" s="84">
        <f>U6*$E$2</f>
        <v>0.05</v>
      </c>
      <c r="W7" s="83" t="s">
        <v>5</v>
      </c>
      <c r="X7" s="84">
        <f>X6*$E$2</f>
        <v>0.025</v>
      </c>
      <c r="AB7" t="s">
        <v>26</v>
      </c>
    </row>
    <row r="8" spans="1:26" ht="12.75">
      <c r="A8" t="s">
        <v>2</v>
      </c>
      <c r="C8" s="80">
        <v>8000</v>
      </c>
      <c r="F8" s="80">
        <v>8000</v>
      </c>
      <c r="H8" t="s">
        <v>3</v>
      </c>
      <c r="I8" s="80">
        <v>4800</v>
      </c>
      <c r="L8" s="80">
        <v>16000</v>
      </c>
      <c r="N8" t="s">
        <v>3</v>
      </c>
      <c r="O8" s="80">
        <v>8000</v>
      </c>
      <c r="Q8" t="s">
        <v>3</v>
      </c>
      <c r="R8" s="80">
        <v>11200</v>
      </c>
      <c r="T8" t="s">
        <v>3</v>
      </c>
      <c r="U8" s="80">
        <v>16000</v>
      </c>
      <c r="X8" s="80">
        <v>8000</v>
      </c>
      <c r="Z8" s="80">
        <v>80000</v>
      </c>
    </row>
    <row r="9" spans="1:28" ht="12.75">
      <c r="A9">
        <v>1989</v>
      </c>
      <c r="B9" s="68">
        <f>0.359-$B$4</f>
        <v>0.35719999999999996</v>
      </c>
      <c r="C9" s="80">
        <f>C8*(1+B9)</f>
        <v>10857.6</v>
      </c>
      <c r="D9" s="85">
        <f>C9/$Z$9</f>
        <v>0.11330375792466787</v>
      </c>
      <c r="E9" s="69">
        <f>0.3148-$E$4</f>
        <v>0.3123</v>
      </c>
      <c r="F9" s="80">
        <f>F8*(1+E9)</f>
        <v>10498.4</v>
      </c>
      <c r="G9" s="85">
        <f>F9/$Z$9</f>
        <v>0.10955535037175188</v>
      </c>
      <c r="H9" s="19">
        <f>0.2019-$H$4</f>
        <v>0.1994</v>
      </c>
      <c r="I9" s="80">
        <f>I8*(1+H9)</f>
        <v>5757.12</v>
      </c>
      <c r="J9" s="85">
        <f>I9/$Z$9</f>
        <v>0.060078040342549356</v>
      </c>
      <c r="K9" s="68">
        <f>0.2521-$K$4</f>
        <v>0.25029999999999997</v>
      </c>
      <c r="L9" s="80">
        <f>L8*(1+K9)</f>
        <v>20004.8</v>
      </c>
      <c r="M9" s="85">
        <f>L9/$Z$9</f>
        <v>0.20875875115415893</v>
      </c>
      <c r="N9" s="68">
        <f>0.2269-$N$4</f>
        <v>0.2244</v>
      </c>
      <c r="O9" s="80">
        <f>O8*(1+N9)</f>
        <v>9795.199999999999</v>
      </c>
      <c r="P9" s="85">
        <f>O9/$Z$9</f>
        <v>0.10221715384833727</v>
      </c>
      <c r="Q9" s="68">
        <f>0.1242-$Q$4</f>
        <v>0.1217</v>
      </c>
      <c r="R9" s="80">
        <f>R8*(1+Q9)</f>
        <v>12563.039999999999</v>
      </c>
      <c r="S9" s="85">
        <f>R9/$Z$9</f>
        <v>0.13110076287189798</v>
      </c>
      <c r="T9" s="68">
        <f>0.108-$T$4</f>
        <v>0.1045</v>
      </c>
      <c r="U9" s="80">
        <f>U8*(1+T9)</f>
        <v>17672</v>
      </c>
      <c r="V9" s="85">
        <f>U9/$Z$9</f>
        <v>0.1844149729263125</v>
      </c>
      <c r="W9" s="69">
        <f>0.0884-$W$4</f>
        <v>0.0849</v>
      </c>
      <c r="X9" s="80">
        <f>X8*(1+W9)</f>
        <v>8679.199999999999</v>
      </c>
      <c r="Y9" s="85">
        <f>X9/$Z$9</f>
        <v>0.09057121056032431</v>
      </c>
      <c r="Z9" s="80">
        <f>SUM(C9,F9,I9,L9,O9,R9,U9,X9)</f>
        <v>95827.35999999999</v>
      </c>
      <c r="AB9" s="61">
        <v>1</v>
      </c>
    </row>
    <row r="10" spans="1:28" ht="12.75">
      <c r="A10">
        <v>1990</v>
      </c>
      <c r="B10" s="68">
        <f>-0.0026-$B$4</f>
        <v>-0.004399999999999999</v>
      </c>
      <c r="C10" s="80">
        <v>10810</v>
      </c>
      <c r="D10" s="86">
        <f>C10/$Z$10</f>
        <v>0.13078458653438993</v>
      </c>
      <c r="E10" s="69">
        <f>-0.051-$E$4</f>
        <v>-0.0535</v>
      </c>
      <c r="F10" s="80">
        <v>9937</v>
      </c>
      <c r="G10" s="85">
        <f>F10/$Z$10</f>
        <v>0.1202226120621862</v>
      </c>
      <c r="H10" s="19">
        <f>-0.1742-$H$4</f>
        <v>-0.1767</v>
      </c>
      <c r="I10" s="80">
        <v>4740</v>
      </c>
      <c r="J10" s="85">
        <f>I10/$Z$10</f>
        <v>0.057346802976226484</v>
      </c>
      <c r="K10" s="68">
        <f>-0.081-$K$4</f>
        <v>-0.0828</v>
      </c>
      <c r="L10" s="80">
        <v>18348</v>
      </c>
      <c r="M10" s="85">
        <f>L10/$Z$10</f>
        <v>0.22198294114088682</v>
      </c>
      <c r="N10" s="68">
        <f>-0.1608-$N$4</f>
        <v>-0.1633</v>
      </c>
      <c r="O10" s="80">
        <v>8196</v>
      </c>
      <c r="P10" s="85">
        <f>O10/$Z$10</f>
        <v>0.0991591555259815</v>
      </c>
      <c r="Q10" s="68">
        <f>-0.2177-$Q$4</f>
        <v>-0.2202</v>
      </c>
      <c r="R10" s="80">
        <v>9797</v>
      </c>
      <c r="S10" s="85">
        <f>R10/$Z$10</f>
        <v>0.11852882463250862</v>
      </c>
      <c r="T10" s="68">
        <f>-0.232-$T$4</f>
        <v>-0.23550000000000001</v>
      </c>
      <c r="U10" s="80">
        <v>13510</v>
      </c>
      <c r="V10" s="85">
        <f>U10/$Z$10</f>
        <v>0.16345048696388603</v>
      </c>
      <c r="W10" s="69">
        <f>-0.1535-$W$4</f>
        <v>-0.157</v>
      </c>
      <c r="X10" s="80">
        <v>7317</v>
      </c>
      <c r="Y10" s="85">
        <f>X10/$Z$10</f>
        <v>0.08852459016393442</v>
      </c>
      <c r="Z10" s="80">
        <f>SUM(C10,F10,I10,L10,O10,R10,U10,X10)</f>
        <v>82655</v>
      </c>
      <c r="AA10" s="92" t="s">
        <v>24</v>
      </c>
      <c r="AB10" s="61">
        <v>1</v>
      </c>
    </row>
    <row r="11" spans="2:27" ht="12.75">
      <c r="B11" s="68"/>
      <c r="C11" s="80">
        <f>$Z10*C6</f>
        <v>8265.5</v>
      </c>
      <c r="E11" s="69"/>
      <c r="F11" s="80">
        <f>$Z10*F6</f>
        <v>8265.5</v>
      </c>
      <c r="H11" s="19"/>
      <c r="I11" s="80">
        <f>$Z10*I6</f>
        <v>4959.3</v>
      </c>
      <c r="K11" s="68"/>
      <c r="L11" s="80">
        <f>$Z10*L6</f>
        <v>16531</v>
      </c>
      <c r="N11" s="68"/>
      <c r="O11" s="80">
        <f>$Z10*O6</f>
        <v>8265.5</v>
      </c>
      <c r="Q11" s="68"/>
      <c r="R11" s="80">
        <f>$Z10*R6</f>
        <v>11571.7</v>
      </c>
      <c r="T11" s="68"/>
      <c r="U11" s="80">
        <f>$Z10*U6</f>
        <v>16531</v>
      </c>
      <c r="W11" s="69"/>
      <c r="X11" s="80">
        <f>$Z10*X6</f>
        <v>8265.5</v>
      </c>
      <c r="AA11" s="92"/>
    </row>
    <row r="12" spans="1:28" ht="12.75">
      <c r="A12">
        <v>1991</v>
      </c>
      <c r="B12" s="19">
        <f>0.412-$B$4</f>
        <v>0.41019999999999995</v>
      </c>
      <c r="C12" s="80">
        <f>C11*(1+B12)</f>
        <v>11656.0081</v>
      </c>
      <c r="D12" s="85">
        <f>C12/$Z$12</f>
        <v>0.1066305736818625</v>
      </c>
      <c r="E12" s="19">
        <f>47%-$E$4</f>
        <v>0.46749999999999997</v>
      </c>
      <c r="F12" s="80">
        <f>F11*(1+E12)</f>
        <v>12129.62125</v>
      </c>
      <c r="G12" s="85">
        <f>F12/$Z$12</f>
        <v>0.11096324413425986</v>
      </c>
      <c r="H12" s="19">
        <f>51.2%-$H$4</f>
        <v>0.5095000000000001</v>
      </c>
      <c r="I12" s="80">
        <f>I11*(1+H12)</f>
        <v>7486.06335</v>
      </c>
      <c r="J12" s="85">
        <f>I12/$Z$12</f>
        <v>0.06848341411407097</v>
      </c>
      <c r="K12" s="20">
        <f>24.6%-$K$4</f>
        <v>0.24420000000000003</v>
      </c>
      <c r="L12" s="80">
        <f>L11*(1+K12)</f>
        <v>20567.8702</v>
      </c>
      <c r="M12" s="85">
        <f>L12/$Z$12</f>
        <v>0.18815736743011396</v>
      </c>
      <c r="N12" s="20">
        <f>37.9%-$N$4</f>
        <v>0.3765</v>
      </c>
      <c r="O12" s="80">
        <f>O11*(1+N12)</f>
        <v>11377.46075</v>
      </c>
      <c r="P12" s="85">
        <f>O12/$Z$12</f>
        <v>0.10408238879101103</v>
      </c>
      <c r="Q12" s="20">
        <f>41.7%-$Q$4</f>
        <v>0.41450000000000004</v>
      </c>
      <c r="R12" s="80">
        <f>R11*(1+Q12)</f>
        <v>16368.169650000002</v>
      </c>
      <c r="S12" s="85">
        <f>R12/$Z$12</f>
        <v>0.1497379982003917</v>
      </c>
      <c r="T12" s="20">
        <f>12.5%-$T$4</f>
        <v>0.1215</v>
      </c>
      <c r="U12" s="80">
        <f>U11*(1+T12)</f>
        <v>18539.516499999998</v>
      </c>
      <c r="V12" s="85">
        <f>U12/$Z$12</f>
        <v>0.16960174214183635</v>
      </c>
      <c r="W12" s="67">
        <f>0.357-$W$4</f>
        <v>0.3535</v>
      </c>
      <c r="X12" s="80">
        <f>X11*(1+W12)</f>
        <v>11187.354249999999</v>
      </c>
      <c r="Y12" s="85">
        <f aca="true" t="shared" si="0" ref="Y12:Y18">X12/Z12</f>
        <v>0.10234327150645363</v>
      </c>
      <c r="Z12" s="80">
        <f>SUM(C12,F12,I12,L12,O12,R12,U12,X12)</f>
        <v>109312.06405</v>
      </c>
      <c r="AA12" s="92" t="s">
        <v>23</v>
      </c>
      <c r="AB12" s="61">
        <v>1</v>
      </c>
    </row>
    <row r="13" spans="1:28" ht="12.75">
      <c r="A13">
        <v>1992</v>
      </c>
      <c r="B13" s="20">
        <f>5%-$B$4</f>
        <v>0.0482</v>
      </c>
      <c r="C13" s="80">
        <v>11658</v>
      </c>
      <c r="D13" s="85">
        <f>C13/$Z$13</f>
        <v>0.09592377441703556</v>
      </c>
      <c r="E13" s="19">
        <f>8.7%-$E$4</f>
        <v>0.08449999999999999</v>
      </c>
      <c r="F13" s="80">
        <v>12079</v>
      </c>
      <c r="G13" s="85">
        <f>F13/$Z$13</f>
        <v>0.09938782562904208</v>
      </c>
      <c r="H13" s="19">
        <f>7.8%-$H$4</f>
        <v>0.0755</v>
      </c>
      <c r="I13" s="80">
        <v>7726</v>
      </c>
      <c r="J13" s="85">
        <f>I13/$Z$13</f>
        <v>0.06357068803791531</v>
      </c>
      <c r="K13" s="20">
        <f>13.8%-$K$4</f>
        <v>0.13620000000000002</v>
      </c>
      <c r="L13" s="80">
        <v>25938</v>
      </c>
      <c r="M13" s="85">
        <f>L13/$Z$13</f>
        <v>0.21342175852024947</v>
      </c>
      <c r="N13" s="20">
        <f>21.68%-$N$4</f>
        <v>0.2143</v>
      </c>
      <c r="O13" s="80">
        <v>13699</v>
      </c>
      <c r="P13" s="85">
        <f>O13/$Z$13</f>
        <v>0.11271742886764198</v>
      </c>
      <c r="Q13" s="20">
        <f>29.2%-$Q$4</f>
        <v>0.2895</v>
      </c>
      <c r="R13" s="80">
        <v>19932</v>
      </c>
      <c r="S13" s="85">
        <f>R13/$Z$13</f>
        <v>0.16400348873566245</v>
      </c>
      <c r="T13" s="20">
        <f>-11.9%-$T$4</f>
        <v>-0.12250000000000001</v>
      </c>
      <c r="U13" s="80">
        <v>19189</v>
      </c>
      <c r="V13" s="85">
        <f>U13/$Z$13</f>
        <v>0.15788997317623052</v>
      </c>
      <c r="W13" s="67">
        <f>0.1459-$W$4</f>
        <v>0.1424</v>
      </c>
      <c r="X13" s="80">
        <v>11313</v>
      </c>
      <c r="Y13" s="85">
        <f t="shared" si="0"/>
        <v>0.09308506261622262</v>
      </c>
      <c r="Z13" s="80">
        <f>SUM(C13,F13,I13,L13,O13,R13,U13,X13)</f>
        <v>121534</v>
      </c>
      <c r="AA13" s="92" t="s">
        <v>24</v>
      </c>
      <c r="AB13" s="61">
        <v>1</v>
      </c>
    </row>
    <row r="14" spans="1:28" ht="12.75">
      <c r="A14">
        <v>1993</v>
      </c>
      <c r="B14" s="20">
        <f>2.9%-$B$4</f>
        <v>0.0272</v>
      </c>
      <c r="C14" s="80">
        <f>C13*(1+B14)</f>
        <v>11975.0976</v>
      </c>
      <c r="D14" s="85">
        <f>C14/Z14</f>
        <v>0.08311194706234513</v>
      </c>
      <c r="E14" s="19">
        <f>11.2%-$E$4</f>
        <v>0.10949999999999999</v>
      </c>
      <c r="F14" s="80">
        <f>F13*(1+E14)</f>
        <v>13401.6505</v>
      </c>
      <c r="G14" s="85">
        <f>F14/Z14</f>
        <v>0.09301279238876944</v>
      </c>
      <c r="H14" s="19">
        <f>13.4%-$H$4</f>
        <v>0.1315</v>
      </c>
      <c r="I14" s="80">
        <f>I13*(1+H14)</f>
        <v>8741.969</v>
      </c>
      <c r="J14" s="85">
        <f>I14/Z14</f>
        <v>0.06067274681324203</v>
      </c>
      <c r="K14" s="20">
        <f>18.1%-$K$4</f>
        <v>0.17920000000000003</v>
      </c>
      <c r="L14" s="80">
        <f>L13*(1+K14)</f>
        <v>30586.0896</v>
      </c>
      <c r="M14" s="85">
        <f>L14/Z14</f>
        <v>0.212279644357917</v>
      </c>
      <c r="N14" s="20">
        <f>15.6%-$N$4</f>
        <v>0.1535</v>
      </c>
      <c r="O14" s="80">
        <f>O13*(1+N14)</f>
        <v>15801.7965</v>
      </c>
      <c r="P14" s="85">
        <f>O14/Z14</f>
        <v>0.10967076161433129</v>
      </c>
      <c r="Q14" s="20">
        <f>23.9%-$Q$4</f>
        <v>0.2365</v>
      </c>
      <c r="R14" s="80">
        <f>R13*(1+Q14)</f>
        <v>24645.917999999998</v>
      </c>
      <c r="S14" s="85">
        <f>R14/Z14</f>
        <v>0.17105248746522944</v>
      </c>
      <c r="T14" s="20">
        <f>32.9%-$T$4</f>
        <v>0.32549999999999996</v>
      </c>
      <c r="U14" s="80">
        <f>U13*(1+T14)</f>
        <v>25435.0195</v>
      </c>
      <c r="V14" s="85">
        <f>U14/Z14</f>
        <v>0.1765291661767931</v>
      </c>
      <c r="W14" s="67">
        <f>0.1965-$W$4</f>
        <v>0.193</v>
      </c>
      <c r="X14" s="80">
        <f>X13*(1+W14)</f>
        <v>13496.409000000001</v>
      </c>
      <c r="Y14" s="85">
        <f t="shared" si="0"/>
        <v>0.09367045412137256</v>
      </c>
      <c r="Z14" s="80">
        <f>SUM(C14,F14,I14,L14,O14,R14,U14,X14)</f>
        <v>144083.9497</v>
      </c>
      <c r="AA14" s="92" t="s">
        <v>23</v>
      </c>
      <c r="AB14" s="61">
        <v>1</v>
      </c>
    </row>
    <row r="15" spans="1:28" ht="12.75">
      <c r="A15">
        <v>1994</v>
      </c>
      <c r="B15" s="20">
        <f>2.6%-$B$4</f>
        <v>0.024200000000000003</v>
      </c>
      <c r="C15" s="80">
        <f>C14*(1+B15)</f>
        <v>12264.89496192</v>
      </c>
      <c r="D15" s="85">
        <f>C15/Z15</f>
        <v>0.08476311403305394</v>
      </c>
      <c r="E15" s="19">
        <f>-2.2%-$E$4</f>
        <v>-0.0245</v>
      </c>
      <c r="F15" s="80">
        <f>F14*(1+E15)</f>
        <v>13073.31006275</v>
      </c>
      <c r="G15" s="85">
        <f>F15/Z15</f>
        <v>0.09035009880466825</v>
      </c>
      <c r="H15" s="19">
        <f>-2.4%-$H$4</f>
        <v>-0.0265</v>
      </c>
      <c r="I15" s="80">
        <f>I14*(1+H15)</f>
        <v>8510.3068215</v>
      </c>
      <c r="J15" s="85">
        <f>I15/Z15</f>
        <v>0.058815025306515674</v>
      </c>
      <c r="K15" s="20">
        <f>-2%-$K$4</f>
        <v>-0.0218</v>
      </c>
      <c r="L15" s="80">
        <f>L14*(1+K15)</f>
        <v>29919.312846719997</v>
      </c>
      <c r="M15" s="85">
        <f>L15/Z15</f>
        <v>0.20677340772106684</v>
      </c>
      <c r="N15" s="20">
        <f>-2.1%-$N$4</f>
        <v>-0.0235</v>
      </c>
      <c r="O15" s="80">
        <f>O14*(1+N15)</f>
        <v>15430.45428225</v>
      </c>
      <c r="P15" s="85">
        <f>O15/Z15</f>
        <v>0.10664040417541683</v>
      </c>
      <c r="Q15" s="20">
        <f>-1.5%-$Q$4</f>
        <v>-0.017499999999999998</v>
      </c>
      <c r="R15" s="80">
        <f>R14*(1+Q15)</f>
        <v>24214.614435</v>
      </c>
      <c r="S15" s="85">
        <f>R15/Z15</f>
        <v>0.1673480393426077</v>
      </c>
      <c r="T15" s="20">
        <f>8.1%-$T$4</f>
        <v>0.0775</v>
      </c>
      <c r="U15" s="80">
        <f>U14*(1+T15)</f>
        <v>27406.233511249997</v>
      </c>
      <c r="V15" s="85">
        <f>U15/Z15</f>
        <v>0.189405429361046</v>
      </c>
      <c r="W15" s="67">
        <f>0.0317-$W$4</f>
        <v>0.0282</v>
      </c>
      <c r="X15" s="80">
        <f>X14*(1+W15)</f>
        <v>13877.007733800001</v>
      </c>
      <c r="Y15" s="85">
        <f t="shared" si="0"/>
        <v>0.09590448125562458</v>
      </c>
      <c r="Z15" s="80">
        <f aca="true" t="shared" si="1" ref="Z15:Z30">SUM(C15,F15,I15,L15,O15,R15,U15,X15)</f>
        <v>144696.13465519002</v>
      </c>
      <c r="AA15" s="92" t="s">
        <v>23</v>
      </c>
      <c r="AB15" s="61">
        <v>1</v>
      </c>
    </row>
    <row r="16" spans="1:28" ht="12.75">
      <c r="A16">
        <v>1995</v>
      </c>
      <c r="B16" s="20">
        <f>37.2%-$B$4</f>
        <v>0.37020000000000003</v>
      </c>
      <c r="C16" s="80">
        <f>C15*(1+B16)</f>
        <v>16805.359076822784</v>
      </c>
      <c r="D16" s="85">
        <f>C16/Z16</f>
        <v>0.09114125492292335</v>
      </c>
      <c r="E16" s="19">
        <f>34%-$E$4</f>
        <v>0.3375</v>
      </c>
      <c r="F16" s="80">
        <f>F15*(1+E16)</f>
        <v>17485.552208928126</v>
      </c>
      <c r="G16" s="85">
        <f>F16/Z16</f>
        <v>0.09483017673450984</v>
      </c>
      <c r="H16" s="19">
        <f>31%-$H$4</f>
        <v>0.3075</v>
      </c>
      <c r="I16" s="80">
        <f>I15*(1+H16)</f>
        <v>11127.22616911125</v>
      </c>
      <c r="J16" s="85">
        <f>I16/Z16</f>
        <v>0.060346782965361494</v>
      </c>
      <c r="K16" s="20">
        <f>38.4%-$K$4</f>
        <v>0.3822</v>
      </c>
      <c r="L16" s="80">
        <f>L15*(1+K16)</f>
        <v>41354.47421673638</v>
      </c>
      <c r="M16" s="85">
        <f>L16/Z16</f>
        <v>0.22427956817591643</v>
      </c>
      <c r="N16" s="20">
        <f>34.9%-$N$4</f>
        <v>0.3465</v>
      </c>
      <c r="O16" s="80">
        <f>O15*(1+N16)</f>
        <v>20777.106691049627</v>
      </c>
      <c r="P16" s="85">
        <f>O16/Z16</f>
        <v>0.11268141125894608</v>
      </c>
      <c r="Q16" s="20">
        <f>25.8%-$Q$4</f>
        <v>0.2555</v>
      </c>
      <c r="R16" s="80">
        <f>R15*(1+Q16)</f>
        <v>30401.4484231425</v>
      </c>
      <c r="S16" s="85">
        <f>R16/Z16</f>
        <v>0.1648775338922177</v>
      </c>
      <c r="T16" s="20">
        <f>11.6%-$T$4</f>
        <v>0.11249999999999999</v>
      </c>
      <c r="U16" s="80">
        <f>U15*(1+T16)</f>
        <v>30489.434781265623</v>
      </c>
      <c r="V16" s="85">
        <f>U16/Z16</f>
        <v>0.16535471424039003</v>
      </c>
      <c r="W16" s="67">
        <f>0.1527-$W$4</f>
        <v>0.1492</v>
      </c>
      <c r="X16" s="80">
        <f>X15*(1+W16)</f>
        <v>15947.45728768296</v>
      </c>
      <c r="Y16" s="85">
        <f t="shared" si="0"/>
        <v>0.08648855780973515</v>
      </c>
      <c r="Z16" s="80">
        <f t="shared" si="1"/>
        <v>184388.05885473924</v>
      </c>
      <c r="AA16" s="92" t="s">
        <v>23</v>
      </c>
      <c r="AB16" s="61">
        <v>1</v>
      </c>
    </row>
    <row r="17" spans="1:28" ht="12.75">
      <c r="A17">
        <v>1996</v>
      </c>
      <c r="B17" s="20">
        <f>23.1%-$B$4</f>
        <v>0.22920000000000001</v>
      </c>
      <c r="C17" s="80">
        <f>C16*(1+B17)</f>
        <v>20657.14737723057</v>
      </c>
      <c r="D17" s="85">
        <f>C17/Z17</f>
        <v>0.09417309139812695</v>
      </c>
      <c r="E17" s="19">
        <f>17.5%-$E$4</f>
        <v>0.1725</v>
      </c>
      <c r="F17" s="80">
        <f>F16*(1+E17)</f>
        <v>20501.809964968226</v>
      </c>
      <c r="G17" s="85">
        <f>F17/Z17</f>
        <v>0.09346492951810596</v>
      </c>
      <c r="H17" s="19">
        <f>11.3%-$H$4</f>
        <v>0.1105</v>
      </c>
      <c r="I17" s="80">
        <f>I16*(1+H17)</f>
        <v>12356.784660798045</v>
      </c>
      <c r="J17" s="85">
        <f>I17/Z17</f>
        <v>0.05633288033424087</v>
      </c>
      <c r="K17" s="20">
        <f>21.6%-$K$4</f>
        <v>0.21420000000000003</v>
      </c>
      <c r="L17" s="80">
        <f>L16*(1+K17)</f>
        <v>50212.60259396131</v>
      </c>
      <c r="M17" s="85">
        <f>L17/Z17</f>
        <v>0.22891234336794966</v>
      </c>
      <c r="N17" s="20">
        <f>20.3%-$N$4</f>
        <v>0.2005</v>
      </c>
      <c r="O17" s="80">
        <f>O16*(1+N17)</f>
        <v>24942.916582605074</v>
      </c>
      <c r="P17" s="85">
        <f>O17/Z17</f>
        <v>0.11371132326134566</v>
      </c>
      <c r="Q17" s="20">
        <f>21.4%-$Q$4</f>
        <v>0.2115</v>
      </c>
      <c r="R17" s="80">
        <f>R16*(1+Q17)</f>
        <v>36831.354764637144</v>
      </c>
      <c r="S17" s="85">
        <f>R17/Z17</f>
        <v>0.1679090764676543</v>
      </c>
      <c r="T17" s="20">
        <f>6.4%-$T$4</f>
        <v>0.0605</v>
      </c>
      <c r="U17" s="80">
        <f>U16*(1+T17)</f>
        <v>32334.045585532192</v>
      </c>
      <c r="V17" s="85">
        <f>U17/Z17</f>
        <v>0.1474064629830684</v>
      </c>
      <c r="W17" s="67">
        <f>0.3527-$W$4</f>
        <v>0.3492</v>
      </c>
      <c r="X17" s="80">
        <f>X16*(1+W17)</f>
        <v>21516.30937254185</v>
      </c>
      <c r="Y17" s="85">
        <f t="shared" si="0"/>
        <v>0.0980898926695082</v>
      </c>
      <c r="Z17" s="80">
        <f t="shared" si="1"/>
        <v>219352.97090227442</v>
      </c>
      <c r="AA17" s="92" t="s">
        <v>23</v>
      </c>
      <c r="AB17" s="61">
        <v>1</v>
      </c>
    </row>
    <row r="18" spans="1:28" ht="12.75">
      <c r="A18">
        <v>1997</v>
      </c>
      <c r="B18" s="20">
        <f>30.5%-$B$4</f>
        <v>0.30319999999999997</v>
      </c>
      <c r="C18" s="80">
        <f>C17*(1+B18)</f>
        <v>26920.394462006876</v>
      </c>
      <c r="D18" s="85">
        <f>C18/Z18</f>
        <v>0.09813290986354838</v>
      </c>
      <c r="E18" s="19">
        <f>22.5%-$E$4</f>
        <v>0.2225</v>
      </c>
      <c r="F18" s="80">
        <f>F17*(1+E18)</f>
        <v>25063.462682173657</v>
      </c>
      <c r="G18" s="85">
        <f>F18/Z18</f>
        <v>0.09136383672718294</v>
      </c>
      <c r="H18" s="19">
        <f>13%-$H$4</f>
        <v>0.1275</v>
      </c>
      <c r="I18" s="80">
        <f>I17*(1+H18)</f>
        <v>13932.274705049795</v>
      </c>
      <c r="J18" s="85">
        <f>I18/Z18</f>
        <v>0.05078731887656459</v>
      </c>
      <c r="K18" s="20">
        <f>35.2%-$K$4</f>
        <v>0.3502</v>
      </c>
      <c r="L18" s="80">
        <f>L17*(1+K18)</f>
        <v>67797.05602236657</v>
      </c>
      <c r="M18" s="85">
        <f>L18/Z18</f>
        <v>0.2471405980713426</v>
      </c>
      <c r="N18" s="20">
        <f>34.4%-$N$4</f>
        <v>0.34149999999999997</v>
      </c>
      <c r="O18" s="80">
        <f>O17*(1+N18)</f>
        <v>33460.922595564705</v>
      </c>
      <c r="P18" s="85">
        <f>O18/Z18</f>
        <v>0.1219750960802575</v>
      </c>
      <c r="Q18" s="20">
        <f>31.8%-$Q$4</f>
        <v>0.3155</v>
      </c>
      <c r="R18" s="80">
        <f>R17*(1+Q18)</f>
        <v>48451.64719288017</v>
      </c>
      <c r="S18" s="86">
        <f>R18/Z18</f>
        <v>0.17662078218912178</v>
      </c>
      <c r="T18" s="20">
        <f>2.1%-$T$4</f>
        <v>0.0175</v>
      </c>
      <c r="U18" s="80">
        <f>U17*(1+T18)</f>
        <v>32899.891383279006</v>
      </c>
      <c r="V18" s="85">
        <f>U18/Z18</f>
        <v>0.11992996908690788</v>
      </c>
      <c r="W18" s="67">
        <f>0.2026-$W$4</f>
        <v>0.1991</v>
      </c>
      <c r="X18" s="80">
        <f>X17*(1+W18)</f>
        <v>25800.206568614936</v>
      </c>
      <c r="Y18" s="85">
        <f t="shared" si="0"/>
        <v>0.09404948910507431</v>
      </c>
      <c r="Z18" s="80">
        <f t="shared" si="1"/>
        <v>274325.8556119357</v>
      </c>
      <c r="AA18" s="92" t="s">
        <v>24</v>
      </c>
      <c r="AB18" s="61">
        <v>1</v>
      </c>
    </row>
    <row r="19" spans="2:27" ht="12.75">
      <c r="B19" s="20"/>
      <c r="C19" s="80">
        <f>$Z$18*C6</f>
        <v>27432.585561193573</v>
      </c>
      <c r="E19" s="19"/>
      <c r="F19" s="80">
        <f>$Z$18*F6</f>
        <v>27432.585561193573</v>
      </c>
      <c r="H19" s="19"/>
      <c r="I19" s="80">
        <f>$Z$18*I6</f>
        <v>16459.551336716144</v>
      </c>
      <c r="K19" s="20"/>
      <c r="L19" s="80">
        <f>$Z$18*L6</f>
        <v>54865.171122387146</v>
      </c>
      <c r="N19" s="20"/>
      <c r="O19" s="80">
        <f>$Z$18*O6</f>
        <v>27432.585561193573</v>
      </c>
      <c r="Q19" s="20"/>
      <c r="R19" s="80">
        <f>$Z$18*R6</f>
        <v>38405.619785671006</v>
      </c>
      <c r="T19" s="20"/>
      <c r="U19" s="80">
        <f>$Z$18*U6</f>
        <v>54865.171122387146</v>
      </c>
      <c r="W19" s="67"/>
      <c r="X19" s="80">
        <f>$Z$18*X6</f>
        <v>27432.585561193573</v>
      </c>
      <c r="AA19" s="92"/>
    </row>
    <row r="20" spans="1:28" ht="12.75">
      <c r="A20">
        <v>1998</v>
      </c>
      <c r="B20" s="20">
        <f>38.7%-$B$4</f>
        <v>0.3852</v>
      </c>
      <c r="C20" s="80">
        <f>C19*(1+B20)</f>
        <v>37999.61751936534</v>
      </c>
      <c r="D20" s="86">
        <f>C20/Z20</f>
        <v>0.12535406278562575</v>
      </c>
      <c r="E20" s="19">
        <f>17.9%-$E$4</f>
        <v>0.1765</v>
      </c>
      <c r="F20" s="80">
        <f>F19*(1+E20)</f>
        <v>32274.436912744237</v>
      </c>
      <c r="G20" s="85">
        <f>F20/Z20</f>
        <v>0.10646769770956445</v>
      </c>
      <c r="H20" s="19">
        <f>1.2%-$H$4</f>
        <v>0.0095</v>
      </c>
      <c r="I20" s="80">
        <f>I19*(1+H20)</f>
        <v>16615.91707441495</v>
      </c>
      <c r="J20" s="85">
        <f>I20/Z20</f>
        <v>0.05481299150249316</v>
      </c>
      <c r="K20" s="20">
        <f>15.6%-$K$4</f>
        <v>0.1542</v>
      </c>
      <c r="L20" s="80">
        <f>L19*(1+K20)</f>
        <v>63325.38050945924</v>
      </c>
      <c r="M20" s="85">
        <f>L20/Z20</f>
        <v>0.20889930590119726</v>
      </c>
      <c r="N20" s="20">
        <f>5.1%-$N$4</f>
        <v>0.048499999999999995</v>
      </c>
      <c r="O20" s="80">
        <f>O19*(1+N20)</f>
        <v>28763.065960911463</v>
      </c>
      <c r="P20" s="85">
        <f>O20/Z20</f>
        <v>0.094884301783662</v>
      </c>
      <c r="Q20" s="20">
        <f>-6.5%-$Q$4</f>
        <v>-0.0675</v>
      </c>
      <c r="R20" s="80">
        <f>R19*(1+Q20)</f>
        <v>35813.24045013821</v>
      </c>
      <c r="S20" s="85">
        <f>R20/Z20</f>
        <v>0.11814158891613805</v>
      </c>
      <c r="T20" s="20">
        <f>20.3%-$T$4</f>
        <v>0.1995</v>
      </c>
      <c r="U20" s="80">
        <f>U19*(1+T20)</f>
        <v>65810.77276130338</v>
      </c>
      <c r="V20" s="85">
        <f>U20/Z20</f>
        <v>0.2170981783300001</v>
      </c>
      <c r="W20" s="67">
        <f>-0.175-$W$4</f>
        <v>-0.1785</v>
      </c>
      <c r="X20" s="80">
        <f>X19*(1+W20)</f>
        <v>22535.86903852052</v>
      </c>
      <c r="Y20" s="86">
        <f>X20/Z20</f>
        <v>0.07434187307131934</v>
      </c>
      <c r="Z20" s="80">
        <f t="shared" si="1"/>
        <v>303138.3002268573</v>
      </c>
      <c r="AA20" s="92" t="s">
        <v>24</v>
      </c>
      <c r="AB20" s="61">
        <v>1</v>
      </c>
    </row>
    <row r="21" spans="2:27" ht="12.75">
      <c r="B21" s="20"/>
      <c r="C21" s="80">
        <f>$Z$20*C6</f>
        <v>30313.830022685732</v>
      </c>
      <c r="E21" s="19"/>
      <c r="F21" s="80">
        <f>$Z$20*F6</f>
        <v>30313.830022685732</v>
      </c>
      <c r="H21" s="19"/>
      <c r="I21" s="80">
        <f>$Z$20*I6</f>
        <v>18188.29801361144</v>
      </c>
      <c r="K21" s="20"/>
      <c r="L21" s="80">
        <f>$Z$20*L6</f>
        <v>60627.660045371464</v>
      </c>
      <c r="N21" s="20"/>
      <c r="O21" s="80">
        <f>$Z$20*O6</f>
        <v>30313.830022685732</v>
      </c>
      <c r="Q21" s="20"/>
      <c r="R21" s="80">
        <f>$Z$20*R6</f>
        <v>42439.36203176003</v>
      </c>
      <c r="T21" s="20"/>
      <c r="U21" s="80">
        <f>$Z$20*U6</f>
        <v>60627.660045371464</v>
      </c>
      <c r="W21" s="67"/>
      <c r="X21" s="80">
        <f>$Z$20*X6</f>
        <v>30313.830022685732</v>
      </c>
      <c r="AA21" s="92"/>
    </row>
    <row r="22" spans="1:28" ht="12.75">
      <c r="A22">
        <v>1999</v>
      </c>
      <c r="B22" s="20">
        <f>33.2%-$B$4</f>
        <v>0.3302</v>
      </c>
      <c r="C22" s="80">
        <f>C21*(1+B22)</f>
        <v>40323.45669617656</v>
      </c>
      <c r="D22" s="85">
        <f>C22/Z22</f>
        <v>0.11365830734395692</v>
      </c>
      <c r="E22" s="19">
        <f>51.3%-$E$4</f>
        <v>0.5105000000000001</v>
      </c>
      <c r="F22" s="80">
        <f>F21*(1+E22)</f>
        <v>45789.0402492668</v>
      </c>
      <c r="G22" s="86">
        <f>F22/Z22</f>
        <v>0.12906395522706882</v>
      </c>
      <c r="H22" s="19">
        <f>43.1%-$H$4</f>
        <v>0.4285</v>
      </c>
      <c r="I22" s="80">
        <f>I21*(1+H22)</f>
        <v>25981.98371244394</v>
      </c>
      <c r="J22" s="86">
        <f>I22/Z22</f>
        <v>0.07323450249925234</v>
      </c>
      <c r="K22" s="20">
        <f>7.4%-$K$4</f>
        <v>0.07220000000000001</v>
      </c>
      <c r="L22" s="80">
        <f>L21*(1+K22)</f>
        <v>65004.97710064729</v>
      </c>
      <c r="M22" s="85">
        <f>L22/Z22</f>
        <v>0.18322723971461527</v>
      </c>
      <c r="N22" s="20">
        <f>-0.1%-$N$4</f>
        <v>-0.0035</v>
      </c>
      <c r="O22" s="80">
        <f>O21*(1+N22)</f>
        <v>30207.731617606332</v>
      </c>
      <c r="P22" s="85">
        <f>O22/Z22</f>
        <v>0.08514546930405432</v>
      </c>
      <c r="Q22" s="20">
        <f>-1.5%-$Q$4</f>
        <v>-0.017499999999999998</v>
      </c>
      <c r="R22" s="80">
        <f>R21*(1+Q22)</f>
        <v>41696.67319620423</v>
      </c>
      <c r="S22" s="85">
        <f>R22/Z22</f>
        <v>0.11752894433289188</v>
      </c>
      <c r="T22" s="20">
        <f>27.3%-$T$4</f>
        <v>0.2695</v>
      </c>
      <c r="U22" s="80">
        <f>U21*(1+T22)</f>
        <v>76966.81442759908</v>
      </c>
      <c r="V22" s="85">
        <f>U22/Z22</f>
        <v>0.2169436493356688</v>
      </c>
      <c r="W22" s="67">
        <f>-0.0462-$W$4</f>
        <v>-0.0497</v>
      </c>
      <c r="X22" s="80">
        <f>X21*(1+W22)</f>
        <v>28807.232670558253</v>
      </c>
      <c r="Y22" s="85">
        <f>X22/Z22</f>
        <v>0.08119793224249156</v>
      </c>
      <c r="Z22" s="80">
        <f t="shared" si="1"/>
        <v>354777.90967050253</v>
      </c>
      <c r="AA22" s="92" t="s">
        <v>24</v>
      </c>
      <c r="AB22" s="61">
        <v>1</v>
      </c>
    </row>
    <row r="23" spans="2:28" ht="12.75">
      <c r="B23" s="20"/>
      <c r="C23" s="80">
        <f>$Z$22*C6</f>
        <v>35477.790967050256</v>
      </c>
      <c r="E23" s="19"/>
      <c r="F23" s="80">
        <f>$Z$22*F6</f>
        <v>35477.790967050256</v>
      </c>
      <c r="H23" s="19"/>
      <c r="I23" s="80">
        <f>$Z$22*I6</f>
        <v>21286.674580230152</v>
      </c>
      <c r="K23" s="20"/>
      <c r="L23" s="80">
        <f>$Z$22*L6</f>
        <v>70955.58193410051</v>
      </c>
      <c r="N23" s="20"/>
      <c r="O23" s="80">
        <f>$Z$22*O6</f>
        <v>35477.790967050256</v>
      </c>
      <c r="Q23" s="20"/>
      <c r="R23" s="80">
        <f>$Z$22*R6</f>
        <v>49668.90735387036</v>
      </c>
      <c r="T23" s="20"/>
      <c r="U23" s="80">
        <f>$Z$22*U6</f>
        <v>70955.58193410051</v>
      </c>
      <c r="W23" s="67"/>
      <c r="X23" s="80">
        <f>$Z$22*X6</f>
        <v>35477.790967050256</v>
      </c>
      <c r="AA23" s="92"/>
      <c r="AB23" t="s">
        <v>3</v>
      </c>
    </row>
    <row r="24" spans="1:28" ht="12.75">
      <c r="A24">
        <v>2000</v>
      </c>
      <c r="B24" s="20">
        <f>-22.4%-$B$4</f>
        <v>-0.22579999999999997</v>
      </c>
      <c r="C24" s="80">
        <f>C23*(1+B24)</f>
        <v>27466.905766690306</v>
      </c>
      <c r="D24" s="85">
        <f>C24/Z24</f>
        <v>0.07640684523222076</v>
      </c>
      <c r="E24" s="19">
        <f>-11.8%-$E$4</f>
        <v>-0.12050000000000001</v>
      </c>
      <c r="F24" s="80">
        <f>F23*(1+E24)</f>
        <v>31202.7171555207</v>
      </c>
      <c r="G24" s="85">
        <f>F24/Z24</f>
        <v>0.08679904466770622</v>
      </c>
      <c r="H24" s="19">
        <f>-22.4%-$H$4</f>
        <v>-0.22649999999999998</v>
      </c>
      <c r="I24" s="80">
        <f>I23*(1+H24)</f>
        <v>16465.242787808023</v>
      </c>
      <c r="J24" s="85">
        <f>I24/Z24</f>
        <v>0.04580265677121371</v>
      </c>
      <c r="K24" s="20">
        <f>7%-$K$4</f>
        <v>0.06820000000000001</v>
      </c>
      <c r="L24" s="80">
        <f>L23*(1+K24)</f>
        <v>75794.75262200617</v>
      </c>
      <c r="M24" s="85">
        <f>L24/Z24</f>
        <v>0.21084420583068514</v>
      </c>
      <c r="N24" s="20">
        <f>19.2%-$N$4</f>
        <v>0.1895</v>
      </c>
      <c r="O24" s="80">
        <f>O23*(1+N24)</f>
        <v>42200.83235530628</v>
      </c>
      <c r="P24" s="85">
        <f>O24/Z24</f>
        <v>0.11739336399344691</v>
      </c>
      <c r="Q24" s="20">
        <f>22.8%-$Q$4</f>
        <v>0.2255</v>
      </c>
      <c r="R24" s="80">
        <f>R23*(1+Q24)</f>
        <v>60869.24596216813</v>
      </c>
      <c r="S24" s="85">
        <f>R24/Z24</f>
        <v>0.1693247537650751</v>
      </c>
      <c r="T24" s="20">
        <f>-14%-$T$4</f>
        <v>-0.14350000000000002</v>
      </c>
      <c r="U24" s="80">
        <f>U23*(1+T24)</f>
        <v>60773.45592655709</v>
      </c>
      <c r="V24" s="85">
        <f>U24/Z24</f>
        <v>0.1690582871128832</v>
      </c>
      <c r="W24" s="67">
        <f>0.2637-$W$4</f>
        <v>0.2602</v>
      </c>
      <c r="X24" s="80">
        <f>X23*(1+W24)</f>
        <v>44709.11217667673</v>
      </c>
      <c r="Y24" s="85">
        <f>X24/Z24</f>
        <v>0.12437084262676905</v>
      </c>
      <c r="Z24" s="80">
        <f t="shared" si="1"/>
        <v>359482.2647527334</v>
      </c>
      <c r="AA24" s="92" t="s">
        <v>24</v>
      </c>
      <c r="AB24" s="61">
        <v>1</v>
      </c>
    </row>
    <row r="25" spans="1:28" ht="12.75">
      <c r="A25">
        <v>2001</v>
      </c>
      <c r="B25" s="20">
        <f>-20.4%-$B$4</f>
        <v>-0.20579999999999998</v>
      </c>
      <c r="C25" s="80">
        <f>C24*(1+B25)</f>
        <v>21814.216559905442</v>
      </c>
      <c r="D25" s="85">
        <f>C25/Z25</f>
        <v>0.06346486112067357</v>
      </c>
      <c r="E25" s="19">
        <f>-20.2%-$E$4</f>
        <v>-0.2045</v>
      </c>
      <c r="F25" s="80">
        <f>F24*(1+E25)</f>
        <v>24821.761497216714</v>
      </c>
      <c r="G25" s="86">
        <f>F25/Z25</f>
        <v>0.07221481651038351</v>
      </c>
      <c r="H25" s="19">
        <f>-9.2%-$H$4</f>
        <v>-0.0945</v>
      </c>
      <c r="I25" s="80">
        <f>I24*(1+H25)</f>
        <v>14909.277344360165</v>
      </c>
      <c r="J25" s="86">
        <f>I25/Z25</f>
        <v>0.04337608061563703</v>
      </c>
      <c r="K25" s="20">
        <f>-5.6%-$K$4</f>
        <v>-0.0578</v>
      </c>
      <c r="L25" s="80">
        <f>L24*(1+K25)</f>
        <v>71413.81592045422</v>
      </c>
      <c r="M25" s="85">
        <f>L25/Z25</f>
        <v>0.20776670558131746</v>
      </c>
      <c r="N25" s="20">
        <f>2.3%-$N$4</f>
        <v>0.0205</v>
      </c>
      <c r="O25" s="80">
        <f>O24*(1+N25)</f>
        <v>43065.949418590055</v>
      </c>
      <c r="P25" s="86">
        <f>O25/Z25</f>
        <v>0.1252932687898748</v>
      </c>
      <c r="Q25" s="20">
        <f>14%-$Q$4</f>
        <v>0.1375</v>
      </c>
      <c r="R25" s="80">
        <f>R24*(1+Q25)</f>
        <v>69238.76728196624</v>
      </c>
      <c r="S25" s="86">
        <f>R25/Z25</f>
        <v>0.20143876071136207</v>
      </c>
      <c r="T25" s="20">
        <f>-21.2%-$T$4</f>
        <v>-0.2155</v>
      </c>
      <c r="U25" s="80">
        <f>U24*(1+T25)</f>
        <v>47676.77617438404</v>
      </c>
      <c r="V25" s="86">
        <f>U25/Z25</f>
        <v>0.13870770789679174</v>
      </c>
      <c r="W25" s="67">
        <f>0.1393-$W$4</f>
        <v>0.1358</v>
      </c>
      <c r="X25" s="80">
        <f>X24*(1+W25)</f>
        <v>50780.60961026943</v>
      </c>
      <c r="Y25" s="86">
        <f>X25/Z25</f>
        <v>0.14773779877395976</v>
      </c>
      <c r="Z25" s="80">
        <f t="shared" si="1"/>
        <v>343721.1738071463</v>
      </c>
      <c r="AA25" s="92" t="s">
        <v>24</v>
      </c>
      <c r="AB25" s="61">
        <v>1</v>
      </c>
    </row>
    <row r="26" spans="2:28" ht="12.75">
      <c r="B26" s="20"/>
      <c r="C26" s="80">
        <f>$Z$25*C6</f>
        <v>34372.11738071463</v>
      </c>
      <c r="E26" s="19"/>
      <c r="F26" s="80">
        <f>$Z$25*F6</f>
        <v>34372.11738071463</v>
      </c>
      <c r="H26" s="19"/>
      <c r="I26" s="80">
        <f>$Z$25*I6</f>
        <v>20623.27042842878</v>
      </c>
      <c r="K26" s="20"/>
      <c r="L26" s="80">
        <f>$Z$25*L6</f>
        <v>68744.23476142927</v>
      </c>
      <c r="N26" s="20"/>
      <c r="O26" s="80">
        <f>$Z$25*O6</f>
        <v>34372.11738071463</v>
      </c>
      <c r="Q26" s="20"/>
      <c r="R26" s="80">
        <f>$Z$25*R6</f>
        <v>48120.96433300049</v>
      </c>
      <c r="T26" s="20"/>
      <c r="U26" s="80">
        <f>$Z$25*U6</f>
        <v>68744.23476142927</v>
      </c>
      <c r="W26" s="67"/>
      <c r="X26" s="80">
        <f>$Z$25*X6</f>
        <v>34372.11738071463</v>
      </c>
      <c r="AA26" s="92"/>
      <c r="AB26" t="s">
        <v>3</v>
      </c>
    </row>
    <row r="27" spans="1:28" ht="12.75">
      <c r="A27">
        <v>2002</v>
      </c>
      <c r="B27" s="20">
        <f>-27.9%-$B$4</f>
        <v>-0.2808</v>
      </c>
      <c r="C27" s="80">
        <f>C26*(1+B27)</f>
        <v>24720.426820209967</v>
      </c>
      <c r="D27" s="85">
        <f>C27/Z27</f>
        <v>0.08563943796141939</v>
      </c>
      <c r="E27" s="19">
        <f>-27.4%-$E$4</f>
        <v>-0.27649999999999997</v>
      </c>
      <c r="F27" s="80">
        <f>F26*(1+E27)</f>
        <v>24868.226924947037</v>
      </c>
      <c r="G27" s="85">
        <f>F27/Z27</f>
        <v>0.08615146463443676</v>
      </c>
      <c r="H27" s="19">
        <f>-30.3%-$H$4</f>
        <v>-0.3055</v>
      </c>
      <c r="I27" s="80">
        <f>I26*(1+H27)</f>
        <v>14322.861312543788</v>
      </c>
      <c r="J27" s="85">
        <f>I27/Z27</f>
        <v>0.04961895689449868</v>
      </c>
      <c r="K27" s="20">
        <f>-15.5%-$K$4</f>
        <v>-0.1568</v>
      </c>
      <c r="L27" s="80">
        <f>L26*(1+K27)</f>
        <v>57965.138750837155</v>
      </c>
      <c r="M27" s="85">
        <f>L27/Z27</f>
        <v>0.20080971659919025</v>
      </c>
      <c r="N27" s="20">
        <f>-9.6%-$N$4</f>
        <v>-0.0985</v>
      </c>
      <c r="O27" s="80">
        <f>O26*(1+N27)</f>
        <v>30986.46381871424</v>
      </c>
      <c r="P27" s="85">
        <f>O27/Z27</f>
        <v>0.10734698737794712</v>
      </c>
      <c r="Q27" s="20">
        <f>-11.4%-$Q$4</f>
        <v>-0.1165</v>
      </c>
      <c r="R27" s="80">
        <f>R26*(1+Q27)</f>
        <v>42514.87198820593</v>
      </c>
      <c r="S27" s="85">
        <f>R27/Z27</f>
        <v>0.14728506787330314</v>
      </c>
      <c r="T27" s="20">
        <f>-15.7%-$T$4</f>
        <v>-0.1605</v>
      </c>
      <c r="U27" s="80">
        <f>U26*(1+T27)</f>
        <v>57710.785082219874</v>
      </c>
      <c r="V27" s="85">
        <f>U27/Z27</f>
        <v>0.1999285544177185</v>
      </c>
      <c r="W27" s="67">
        <f>0.0383-$W$4</f>
        <v>0.0348</v>
      </c>
      <c r="X27" s="80">
        <f>X26*(1+W27)</f>
        <v>35568.2670655635</v>
      </c>
      <c r="Y27" s="85">
        <f>X27/Z27</f>
        <v>0.12321981424148605</v>
      </c>
      <c r="Z27" s="80">
        <f t="shared" si="1"/>
        <v>288657.0417632415</v>
      </c>
      <c r="AA27" s="92" t="s">
        <v>24</v>
      </c>
      <c r="AB27" s="61">
        <v>1</v>
      </c>
    </row>
    <row r="28" spans="1:28" ht="12.75">
      <c r="A28">
        <v>2003</v>
      </c>
      <c r="B28" s="20">
        <f>29.8%-$B$4</f>
        <v>0.29619999999999996</v>
      </c>
      <c r="C28" s="80">
        <f>C27*(1+B28)</f>
        <v>32042.61724435616</v>
      </c>
      <c r="D28" s="85">
        <f>C28/Z28</f>
        <v>0.08062793197863112</v>
      </c>
      <c r="E28" s="19">
        <f>42.7%-$E$4</f>
        <v>0.42450000000000004</v>
      </c>
      <c r="F28" s="80">
        <f>F27*(1+E28)</f>
        <v>35424.789254587056</v>
      </c>
      <c r="G28" s="85">
        <f>F28/Z28</f>
        <v>0.08913839579940278</v>
      </c>
      <c r="H28" s="19">
        <f>48.5%-$H$4</f>
        <v>0.4825</v>
      </c>
      <c r="I28" s="80">
        <f>I27*(1+H28)</f>
        <v>21233.641895846165</v>
      </c>
      <c r="J28" s="85">
        <f>I28/Z28</f>
        <v>0.05342961286155378</v>
      </c>
      <c r="K28" s="20">
        <f>30%-$K$4</f>
        <v>0.29819999999999997</v>
      </c>
      <c r="L28" s="80">
        <f>L27*(1+K28)</f>
        <v>75250.3431263368</v>
      </c>
      <c r="M28" s="85">
        <f>L28/Z28</f>
        <v>0.1893503112024221</v>
      </c>
      <c r="N28" s="20">
        <f>38.1%-$N$4</f>
        <v>0.3785</v>
      </c>
      <c r="O28" s="80">
        <f>O27*(1+N28)</f>
        <v>42714.840374097585</v>
      </c>
      <c r="P28" s="85">
        <f>O28/Z28</f>
        <v>0.10748214535338678</v>
      </c>
      <c r="Q28" s="20">
        <f>46%-$Q$4</f>
        <v>0.4575</v>
      </c>
      <c r="R28" s="80">
        <f>R27*(1+Q28)</f>
        <v>61965.425922810144</v>
      </c>
      <c r="S28" s="85">
        <f>R28/Z28</f>
        <v>0.15592184958646724</v>
      </c>
      <c r="T28" s="20">
        <f>39.2%-$T$4</f>
        <v>0.3885</v>
      </c>
      <c r="U28" s="80">
        <f>U27*(1+T28)</f>
        <v>80131.4250866623</v>
      </c>
      <c r="V28" s="85">
        <f>U28/Z28</f>
        <v>0.20163243975883915</v>
      </c>
      <c r="W28" s="67">
        <f>0.3713-$W$4</f>
        <v>0.3678</v>
      </c>
      <c r="X28" s="80">
        <f>X27*(1+W28)</f>
        <v>48650.275692277755</v>
      </c>
      <c r="Y28" s="85">
        <f>X28/Z28</f>
        <v>0.12241731345929696</v>
      </c>
      <c r="Z28" s="80">
        <f t="shared" si="1"/>
        <v>397413.358596974</v>
      </c>
      <c r="AA28" s="92" t="s">
        <v>23</v>
      </c>
      <c r="AB28" s="61">
        <v>1</v>
      </c>
    </row>
    <row r="29" spans="1:28" ht="12.75">
      <c r="A29">
        <v>2004</v>
      </c>
      <c r="B29" s="20">
        <f>6.3%-$B$4</f>
        <v>0.0612</v>
      </c>
      <c r="C29" s="80">
        <f>C28*(1+B29)</f>
        <v>34003.625419710756</v>
      </c>
      <c r="D29" s="85">
        <f>C29/Z29</f>
        <v>0.07155327932556167</v>
      </c>
      <c r="E29" s="19">
        <f>15.5%-$E$4</f>
        <v>0.1525</v>
      </c>
      <c r="F29" s="80">
        <f>F28*(1+E29)</f>
        <v>40827.06961591158</v>
      </c>
      <c r="G29" s="85">
        <f>F29/Z29</f>
        <v>0.08591174265136117</v>
      </c>
      <c r="H29" s="19">
        <f>14.3%-$H$4</f>
        <v>0.1405</v>
      </c>
      <c r="I29" s="80">
        <f>I28*(1+H29)</f>
        <v>24216.968582212554</v>
      </c>
      <c r="J29" s="85">
        <f>I29/Z29</f>
        <v>0.05095937553696726</v>
      </c>
      <c r="K29" s="20">
        <f>16.5%-$K$4</f>
        <v>0.1632</v>
      </c>
      <c r="L29" s="80">
        <f>L28*(1+K29)</f>
        <v>87531.19912455496</v>
      </c>
      <c r="M29" s="85">
        <f>L29/Z29</f>
        <v>0.18419048743638103</v>
      </c>
      <c r="N29" s="20">
        <f>23.7%-$N$4</f>
        <v>0.2345</v>
      </c>
      <c r="O29" s="80">
        <f>O28*(1+N29)</f>
        <v>52731.47044182347</v>
      </c>
      <c r="P29" s="85">
        <f>O29/Z29</f>
        <v>0.11096198088290461</v>
      </c>
      <c r="Q29" s="20">
        <f>22.3%-$Q$4</f>
        <v>0.2205</v>
      </c>
      <c r="R29" s="80">
        <f>R28*(1+Q29)</f>
        <v>75628.80233878977</v>
      </c>
      <c r="S29" s="85">
        <f>R29/Z29</f>
        <v>0.15914446627412437</v>
      </c>
      <c r="T29" s="20">
        <f>20.7%-$T$4</f>
        <v>0.2035</v>
      </c>
      <c r="U29" s="80">
        <f>U28*(1+T29)</f>
        <v>96438.17009179808</v>
      </c>
      <c r="V29" s="85">
        <f>U29/Z29</f>
        <v>0.2029332824677126</v>
      </c>
      <c r="W29" s="67">
        <f>0.3158-$W$4</f>
        <v>0.3123</v>
      </c>
      <c r="X29" s="80">
        <f>X28*(1+W29)</f>
        <v>63843.7567909761</v>
      </c>
      <c r="Y29" s="85">
        <f>X29/Z29</f>
        <v>0.13434538542498733</v>
      </c>
      <c r="Z29" s="80">
        <f t="shared" si="1"/>
        <v>475221.0624057772</v>
      </c>
      <c r="AA29" s="92" t="s">
        <v>23</v>
      </c>
      <c r="AB29" s="61">
        <v>1</v>
      </c>
    </row>
    <row r="30" spans="1:28" ht="12.75">
      <c r="A30" t="s">
        <v>35</v>
      </c>
      <c r="B30" s="19">
        <f>0.053-$B$4</f>
        <v>0.051199999999999996</v>
      </c>
      <c r="C30" s="80">
        <f>C29*(1+B30)</f>
        <v>35744.61104119994</v>
      </c>
      <c r="D30" s="85">
        <f>C30/Z30</f>
        <v>0.06802885911710564</v>
      </c>
      <c r="E30" s="19">
        <f>13.54%-$E$4</f>
        <v>0.1329</v>
      </c>
      <c r="F30" s="80">
        <f>F29*(1+E30)</f>
        <v>46252.98716786623</v>
      </c>
      <c r="G30" s="85">
        <f>F30/Z30</f>
        <v>0.08802831688842007</v>
      </c>
      <c r="H30" s="19">
        <f>11.19%-$H$4</f>
        <v>0.1094</v>
      </c>
      <c r="I30" s="80">
        <f>I29*(1+H30)</f>
        <v>26866.304945106607</v>
      </c>
      <c r="J30" s="85">
        <f>I30/Z30</f>
        <v>0.0511317376485432</v>
      </c>
      <c r="K30" s="20">
        <f>6.27%-$K$4</f>
        <v>0.06089999999999999</v>
      </c>
      <c r="L30" s="80">
        <f>L29*(1+K30)</f>
        <v>92861.84915124036</v>
      </c>
      <c r="M30" s="85">
        <f>L30/Z30</f>
        <v>0.17673393189206113</v>
      </c>
      <c r="N30" s="20">
        <f>11.81%-$N$4</f>
        <v>0.11560000000000001</v>
      </c>
      <c r="O30" s="80">
        <f>O29*(1+N30)</f>
        <v>58827.228424898254</v>
      </c>
      <c r="P30" s="85">
        <f>O30/Z30</f>
        <v>0.1119595127263931</v>
      </c>
      <c r="Q30" s="20">
        <f>7.83%-$Q$4</f>
        <v>0.07579999999999999</v>
      </c>
      <c r="R30" s="80">
        <f>R29*(1+Q30)</f>
        <v>81361.46555607005</v>
      </c>
      <c r="S30" s="85">
        <f>R30/Z30</f>
        <v>0.15484649340555046</v>
      </c>
      <c r="T30" s="20">
        <f>14.7%-$T$4</f>
        <v>0.1435</v>
      </c>
      <c r="U30" s="80">
        <f>U29*(1+T30)</f>
        <v>110277.0474999711</v>
      </c>
      <c r="V30" s="85">
        <f>U30/Z30</f>
        <v>0.2098783987208288</v>
      </c>
      <c r="W30" s="67">
        <f>15.07%-$W$4</f>
        <v>0.1472</v>
      </c>
      <c r="X30" s="80">
        <f>X29*(1+W30)</f>
        <v>73241.55779060778</v>
      </c>
      <c r="Y30" s="85">
        <f>X30/Z30</f>
        <v>0.1393927496010975</v>
      </c>
      <c r="Z30" s="80">
        <f t="shared" si="1"/>
        <v>525433.0515769604</v>
      </c>
      <c r="AA30" s="92" t="s">
        <v>23</v>
      </c>
      <c r="AB30" s="61">
        <v>1</v>
      </c>
    </row>
    <row r="33" spans="1:2" ht="15.75">
      <c r="A33" t="s">
        <v>16</v>
      </c>
      <c r="B33" s="58">
        <v>0.1171</v>
      </c>
    </row>
    <row r="34" spans="1:2" ht="12.75">
      <c r="A34" t="s">
        <v>2</v>
      </c>
      <c r="B34" s="75">
        <v>80000</v>
      </c>
    </row>
    <row r="35" spans="1:2" ht="12.75">
      <c r="A35">
        <v>1989</v>
      </c>
      <c r="B35" s="75">
        <f>B34*$B$33+B34</f>
        <v>89368</v>
      </c>
    </row>
    <row r="36" spans="1:2" ht="12.75">
      <c r="A36">
        <v>1990</v>
      </c>
      <c r="B36" s="75">
        <f aca="true" t="shared" si="2" ref="B36:B51">B35*$B$33+B35</f>
        <v>99832.9928</v>
      </c>
    </row>
    <row r="37" spans="1:2" ht="12.75">
      <c r="A37">
        <v>1991</v>
      </c>
      <c r="B37" s="75">
        <f t="shared" si="2"/>
        <v>111523.43625688001</v>
      </c>
    </row>
    <row r="38" spans="1:2" ht="12.75">
      <c r="A38">
        <f>A37+1</f>
        <v>1992</v>
      </c>
      <c r="B38" s="75">
        <f t="shared" si="2"/>
        <v>124582.83064256066</v>
      </c>
    </row>
    <row r="39" spans="1:2" ht="12.75">
      <c r="A39">
        <f aca="true" t="shared" si="3" ref="A39:A47">A38+1</f>
        <v>1993</v>
      </c>
      <c r="B39" s="75">
        <f t="shared" si="2"/>
        <v>139171.48011080452</v>
      </c>
    </row>
    <row r="40" spans="1:2" ht="12.75">
      <c r="A40">
        <f t="shared" si="3"/>
        <v>1994</v>
      </c>
      <c r="B40" s="75">
        <f t="shared" si="2"/>
        <v>155468.46043177973</v>
      </c>
    </row>
    <row r="41" spans="1:2" ht="12.75">
      <c r="A41">
        <f t="shared" si="3"/>
        <v>1995</v>
      </c>
      <c r="B41" s="75">
        <f t="shared" si="2"/>
        <v>173673.81714834116</v>
      </c>
    </row>
    <row r="42" spans="1:2" ht="12.75">
      <c r="A42">
        <f t="shared" si="3"/>
        <v>1996</v>
      </c>
      <c r="B42" s="75">
        <f t="shared" si="2"/>
        <v>194011.0211364119</v>
      </c>
    </row>
    <row r="43" spans="1:2" ht="12.75">
      <c r="A43">
        <f t="shared" si="3"/>
        <v>1997</v>
      </c>
      <c r="B43" s="75">
        <f t="shared" si="2"/>
        <v>216729.71171148572</v>
      </c>
    </row>
    <row r="44" spans="1:2" ht="12.75">
      <c r="A44">
        <f t="shared" si="3"/>
        <v>1998</v>
      </c>
      <c r="B44" s="75">
        <f t="shared" si="2"/>
        <v>242108.7609529007</v>
      </c>
    </row>
    <row r="45" spans="1:2" ht="12.75">
      <c r="A45">
        <f t="shared" si="3"/>
        <v>1999</v>
      </c>
      <c r="B45" s="75">
        <f t="shared" si="2"/>
        <v>270459.69686048536</v>
      </c>
    </row>
    <row r="46" spans="1:2" ht="12.75">
      <c r="A46">
        <f t="shared" si="3"/>
        <v>2000</v>
      </c>
      <c r="B46" s="75">
        <f t="shared" si="2"/>
        <v>302130.52736284817</v>
      </c>
    </row>
    <row r="47" spans="1:2" ht="12.75">
      <c r="A47">
        <f t="shared" si="3"/>
        <v>2001</v>
      </c>
      <c r="B47" s="75">
        <f t="shared" si="2"/>
        <v>337510.01211703767</v>
      </c>
    </row>
    <row r="48" spans="1:2" ht="12.75">
      <c r="A48">
        <f>A47+1</f>
        <v>2002</v>
      </c>
      <c r="B48" s="75">
        <f t="shared" si="2"/>
        <v>377032.4345359428</v>
      </c>
    </row>
    <row r="49" spans="1:2" ht="12.75">
      <c r="A49">
        <f>A48+1</f>
        <v>2003</v>
      </c>
      <c r="B49" s="75">
        <f t="shared" si="2"/>
        <v>421182.9326201017</v>
      </c>
    </row>
    <row r="50" spans="1:2" ht="12.75">
      <c r="A50">
        <f>A49+1</f>
        <v>2004</v>
      </c>
      <c r="B50" s="75">
        <f t="shared" si="2"/>
        <v>470503.4540299156</v>
      </c>
    </row>
    <row r="51" spans="1:2" ht="12.75">
      <c r="A51">
        <f>A50+1</f>
        <v>2005</v>
      </c>
      <c r="B51" s="75">
        <f t="shared" si="2"/>
        <v>525599.4084968187</v>
      </c>
    </row>
  </sheetData>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AB54"/>
  <sheetViews>
    <sheetView workbookViewId="0" topLeftCell="A1">
      <pane xSplit="1" ySplit="7" topLeftCell="J17" activePane="bottomRight" state="frozen"/>
      <selection pane="topLeft" activeCell="A1" sqref="A1"/>
      <selection pane="topRight" activeCell="B1" sqref="B1"/>
      <selection pane="bottomLeft" activeCell="A8" sqref="A8"/>
      <selection pane="bottomRight" activeCell="X36" sqref="X36"/>
    </sheetView>
  </sheetViews>
  <sheetFormatPr defaultColWidth="9.140625" defaultRowHeight="12.75"/>
  <cols>
    <col min="1" max="1" width="19.421875" style="0" customWidth="1"/>
    <col min="2" max="2" width="12.421875" style="0" customWidth="1"/>
    <col min="3" max="3" width="8.8515625" style="0" customWidth="1"/>
    <col min="4" max="4" width="9.28125" style="0" customWidth="1"/>
    <col min="5" max="5" width="10.28125" style="0" customWidth="1"/>
    <col min="6" max="7" width="9.8515625" style="0" customWidth="1"/>
    <col min="8" max="8" width="12.28125" style="0" customWidth="1"/>
    <col min="9" max="9" width="8.421875" style="0" customWidth="1"/>
    <col min="10" max="10" width="11.421875" style="0" customWidth="1"/>
    <col min="11" max="11" width="11.140625" style="0" customWidth="1"/>
    <col min="12" max="12" width="9.7109375" style="0" customWidth="1"/>
    <col min="13" max="13" width="10.421875" style="0" customWidth="1"/>
    <col min="16" max="16" width="10.8515625" style="0" customWidth="1"/>
    <col min="17" max="17" width="11.421875" style="0" customWidth="1"/>
    <col min="18" max="18" width="9.00390625" style="0" customWidth="1"/>
    <col min="19" max="19" width="8.8515625" style="0" customWidth="1"/>
    <col min="20" max="20" width="11.28125" style="0" customWidth="1"/>
    <col min="21" max="22" width="9.00390625" style="0" customWidth="1"/>
    <col min="23" max="23" width="9.7109375" style="0" customWidth="1"/>
    <col min="24" max="24" width="9.8515625" style="0" customWidth="1"/>
    <col min="25" max="25" width="9.57421875" style="0" customWidth="1"/>
    <col min="26" max="26" width="10.57421875" style="0" customWidth="1"/>
    <col min="27" max="27" width="7.28125" style="0" customWidth="1"/>
    <col min="28" max="28" width="10.8515625" style="0" customWidth="1"/>
  </cols>
  <sheetData>
    <row r="1" ht="12.75">
      <c r="A1" t="s">
        <v>0</v>
      </c>
    </row>
    <row r="2" spans="1:5" ht="12.75">
      <c r="A2" s="93" t="s">
        <v>2</v>
      </c>
      <c r="B2" s="94">
        <v>80000</v>
      </c>
      <c r="D2" t="s">
        <v>48</v>
      </c>
      <c r="E2" s="5">
        <v>0.3</v>
      </c>
    </row>
    <row r="3" spans="1:4" ht="12.75">
      <c r="A3" s="95" t="s">
        <v>11</v>
      </c>
      <c r="B3" s="96">
        <f>Z31</f>
        <v>536125.6415975298</v>
      </c>
      <c r="D3" t="s">
        <v>47</v>
      </c>
    </row>
    <row r="4" spans="1:23" ht="15.75">
      <c r="A4" s="97" t="s">
        <v>15</v>
      </c>
      <c r="B4" s="18">
        <v>0.0018</v>
      </c>
      <c r="C4" s="17" t="s">
        <v>3</v>
      </c>
      <c r="E4" s="66">
        <v>0.0025</v>
      </c>
      <c r="F4" s="17"/>
      <c r="G4" s="17" t="s">
        <v>3</v>
      </c>
      <c r="H4" s="18">
        <v>0.0025</v>
      </c>
      <c r="I4" s="17" t="s">
        <v>3</v>
      </c>
      <c r="K4" s="18">
        <v>0.0018</v>
      </c>
      <c r="L4" s="18"/>
      <c r="M4" s="17" t="s">
        <v>3</v>
      </c>
      <c r="N4" s="18">
        <v>0.0025</v>
      </c>
      <c r="Q4" s="18">
        <v>0.0025</v>
      </c>
      <c r="T4" s="18">
        <v>0.0035</v>
      </c>
      <c r="W4" s="18">
        <v>0.0035</v>
      </c>
    </row>
    <row r="5" spans="1:26" ht="15.75">
      <c r="A5" t="s">
        <v>1</v>
      </c>
      <c r="C5" s="12">
        <v>7</v>
      </c>
      <c r="F5" s="12">
        <v>6</v>
      </c>
      <c r="I5" s="12">
        <v>8</v>
      </c>
      <c r="J5" s="63"/>
      <c r="L5" s="12">
        <v>5</v>
      </c>
      <c r="O5" s="12">
        <v>2</v>
      </c>
      <c r="R5" s="12">
        <v>3</v>
      </c>
      <c r="U5" s="12">
        <v>1</v>
      </c>
      <c r="X5" s="12">
        <v>4</v>
      </c>
      <c r="Y5" s="100"/>
      <c r="Z5" s="15" t="s">
        <v>12</v>
      </c>
    </row>
    <row r="6" spans="2:28" ht="12.75">
      <c r="B6" s="9" t="s">
        <v>4</v>
      </c>
      <c r="C6" s="5">
        <v>0.1</v>
      </c>
      <c r="D6" s="8" t="s">
        <v>13</v>
      </c>
      <c r="E6" s="9" t="s">
        <v>6</v>
      </c>
      <c r="F6" s="5">
        <v>0.1</v>
      </c>
      <c r="G6" s="8" t="s">
        <v>13</v>
      </c>
      <c r="H6" s="9" t="s">
        <v>38</v>
      </c>
      <c r="I6" s="5">
        <v>0.05</v>
      </c>
      <c r="J6" s="5"/>
      <c r="K6" s="9" t="s">
        <v>7</v>
      </c>
      <c r="L6" s="5">
        <v>0.15</v>
      </c>
      <c r="M6" s="5"/>
      <c r="N6" s="9" t="s">
        <v>8</v>
      </c>
      <c r="O6" s="5">
        <v>0.15</v>
      </c>
      <c r="P6" s="103"/>
      <c r="Q6" s="9" t="s">
        <v>9</v>
      </c>
      <c r="R6" s="5">
        <v>0.15</v>
      </c>
      <c r="S6" s="5"/>
      <c r="T6" s="9" t="s">
        <v>10</v>
      </c>
      <c r="U6" s="5">
        <v>0.2</v>
      </c>
      <c r="V6" s="5"/>
      <c r="W6" s="99" t="s">
        <v>43</v>
      </c>
      <c r="X6" s="5">
        <v>0.1</v>
      </c>
      <c r="Y6" s="5"/>
      <c r="Z6" s="60">
        <f>SUM(C6,F6,I6,L6,O6,R6,U6,X6)</f>
        <v>1.0000000000000002</v>
      </c>
      <c r="AA6" t="s">
        <v>49</v>
      </c>
      <c r="AB6" s="3" t="s">
        <v>25</v>
      </c>
    </row>
    <row r="7" spans="1:28" ht="12.75">
      <c r="A7" s="4" t="s">
        <v>3</v>
      </c>
      <c r="B7" s="10" t="s">
        <v>5</v>
      </c>
      <c r="C7" s="23">
        <f>C6*$E$2</f>
        <v>0.03</v>
      </c>
      <c r="E7" s="10" t="s">
        <v>5</v>
      </c>
      <c r="F7" s="23">
        <f>F6*$E$2</f>
        <v>0.03</v>
      </c>
      <c r="H7" s="10" t="s">
        <v>5</v>
      </c>
      <c r="I7" s="23">
        <f>I6*$E$2</f>
        <v>0.015</v>
      </c>
      <c r="K7" s="10" t="s">
        <v>5</v>
      </c>
      <c r="L7" s="23">
        <f>L6*$E$2</f>
        <v>0.045</v>
      </c>
      <c r="N7" s="10" t="s">
        <v>5</v>
      </c>
      <c r="O7" s="23">
        <f>O6*$E$2</f>
        <v>0.045</v>
      </c>
      <c r="Q7" s="10" t="s">
        <v>5</v>
      </c>
      <c r="R7" s="23">
        <f>R6*$E$2</f>
        <v>0.045</v>
      </c>
      <c r="T7" s="10" t="s">
        <v>5</v>
      </c>
      <c r="U7" s="23">
        <f>U6*$E$2</f>
        <v>0.06</v>
      </c>
      <c r="W7" s="10" t="s">
        <v>5</v>
      </c>
      <c r="X7" s="23">
        <f>X6*$E$2</f>
        <v>0.03</v>
      </c>
      <c r="Y7" s="101"/>
      <c r="AB7" s="3" t="s">
        <v>26</v>
      </c>
    </row>
    <row r="8" spans="1:26" ht="12.75">
      <c r="A8" t="s">
        <v>2</v>
      </c>
      <c r="C8" s="71">
        <f>C6*$B$2</f>
        <v>8000</v>
      </c>
      <c r="D8" s="70"/>
      <c r="E8" s="1"/>
      <c r="F8" s="74">
        <f>F6*$B$2</f>
        <v>8000</v>
      </c>
      <c r="G8" s="1"/>
      <c r="H8" s="7" t="s">
        <v>3</v>
      </c>
      <c r="I8" s="74">
        <f>I6*$B$2</f>
        <v>4000</v>
      </c>
      <c r="J8" s="1"/>
      <c r="L8" s="74">
        <f>L6*$B$2</f>
        <v>12000</v>
      </c>
      <c r="M8" s="1"/>
      <c r="N8" t="s">
        <v>3</v>
      </c>
      <c r="O8" s="74">
        <f>O6*$B$2</f>
        <v>12000</v>
      </c>
      <c r="P8" s="1"/>
      <c r="Q8" t="s">
        <v>3</v>
      </c>
      <c r="R8" s="74">
        <f>R6*$B$2</f>
        <v>12000</v>
      </c>
      <c r="S8" s="1"/>
      <c r="T8" t="s">
        <v>3</v>
      </c>
      <c r="U8" s="74">
        <f>U6*$B$2</f>
        <v>16000</v>
      </c>
      <c r="V8" s="1"/>
      <c r="W8" s="1"/>
      <c r="X8" s="74">
        <f>X6*$B$2</f>
        <v>8000</v>
      </c>
      <c r="Y8" s="1"/>
      <c r="Z8" s="75">
        <f>SUM(C8,F8,I8,L8,O8,R8,U8,X8)</f>
        <v>80000</v>
      </c>
    </row>
    <row r="9" spans="1:28" ht="12.75">
      <c r="A9">
        <v>1989</v>
      </c>
      <c r="B9" s="68">
        <f>0.359-$B$4</f>
        <v>0.35719999999999996</v>
      </c>
      <c r="C9" s="71">
        <f>C8*(1+B9)</f>
        <v>10857.6</v>
      </c>
      <c r="D9" s="77">
        <f>C9/Z9</f>
        <v>0.1135000878095286</v>
      </c>
      <c r="E9" s="69">
        <f>0.3148-$E$4</f>
        <v>0.3123</v>
      </c>
      <c r="F9" s="74">
        <f>F8*(1+E9)</f>
        <v>10498.4</v>
      </c>
      <c r="G9" s="24">
        <f>F9/Z9</f>
        <v>0.10974518511084909</v>
      </c>
      <c r="H9" s="19">
        <f>0.2019-$H$4</f>
        <v>0.1994</v>
      </c>
      <c r="I9" s="74">
        <f>I8*(1+H9)</f>
        <v>4797.6</v>
      </c>
      <c r="J9" s="24">
        <f>I9/Z9</f>
        <v>0.05015178504227402</v>
      </c>
      <c r="K9" s="68">
        <f>0.2521-$K$4</f>
        <v>0.25029999999999997</v>
      </c>
      <c r="L9" s="74">
        <f>L8*(1+K9)</f>
        <v>15003.6</v>
      </c>
      <c r="M9" s="24">
        <f>L9/Z9</f>
        <v>0.15684036227702652</v>
      </c>
      <c r="N9" s="68">
        <f>0.2269-$N$4</f>
        <v>0.2244</v>
      </c>
      <c r="O9" s="74">
        <f>O8*(1+N9)</f>
        <v>14692.8</v>
      </c>
      <c r="P9" s="24">
        <f>O9/Z9</f>
        <v>0.15359140971926039</v>
      </c>
      <c r="Q9" s="68">
        <f>0.1242-$Q$4</f>
        <v>0.1217</v>
      </c>
      <c r="R9" s="74">
        <f>R8*(1+Q9)</f>
        <v>13460.4</v>
      </c>
      <c r="S9" s="24">
        <f>R9/Z9</f>
        <v>0.14070849745352368</v>
      </c>
      <c r="T9" s="68">
        <f>0.108-$T$4</f>
        <v>0.1045</v>
      </c>
      <c r="U9" s="74">
        <f>U8*(1+T9)</f>
        <v>17672</v>
      </c>
      <c r="V9" s="24">
        <f>U9/Z9</f>
        <v>0.1847345225252348</v>
      </c>
      <c r="W9" s="69">
        <f>0.0884-$W$4</f>
        <v>0.0849</v>
      </c>
      <c r="X9" s="74">
        <f>X8*(1+W9)</f>
        <v>8679.199999999999</v>
      </c>
      <c r="Y9" s="24">
        <f>X9/Z9</f>
        <v>0.09072815006230295</v>
      </c>
      <c r="Z9" s="75">
        <f aca="true" t="shared" si="0" ref="Z9:Z31">SUM(C9,F9,I9,L9,O9,R9,U9,X9)</f>
        <v>95661.59999999999</v>
      </c>
      <c r="AB9" s="27">
        <f>SUM(D9,G9,J9,M9,P9,S9,V9,Y9)</f>
        <v>1</v>
      </c>
    </row>
    <row r="10" spans="1:28" ht="12.75">
      <c r="A10">
        <v>1990</v>
      </c>
      <c r="B10" s="68">
        <f>-0.0026-$B$4</f>
        <v>-0.004399999999999999</v>
      </c>
      <c r="C10" s="71">
        <f>C9*(1+B10)</f>
        <v>10809.826560000001</v>
      </c>
      <c r="D10" s="25">
        <f>C10/Z10</f>
        <v>0.13170761495391384</v>
      </c>
      <c r="E10" s="69">
        <f>-0.051-$E$4</f>
        <v>-0.0535</v>
      </c>
      <c r="F10" s="74">
        <f>F9*(1+E10)</f>
        <v>9936.7356</v>
      </c>
      <c r="G10" s="24">
        <f>F10/Z10</f>
        <v>0.12106981911684325</v>
      </c>
      <c r="H10" s="19">
        <f>-0.1742-$H$4</f>
        <v>-0.1767</v>
      </c>
      <c r="I10" s="74">
        <f>I9*(1+H10)</f>
        <v>3949.8640800000003</v>
      </c>
      <c r="J10" s="24">
        <f>I10/Z10</f>
        <v>0.04812539539662467</v>
      </c>
      <c r="K10" s="68">
        <f>-0.081-$K$4</f>
        <v>-0.0828</v>
      </c>
      <c r="L10" s="74">
        <f>L9*(1+K10)</f>
        <v>13761.30192</v>
      </c>
      <c r="M10" s="24">
        <f>L10/Z10</f>
        <v>0.16766857862925</v>
      </c>
      <c r="N10" s="68">
        <f>-0.1608-$N$4</f>
        <v>-0.1633</v>
      </c>
      <c r="O10" s="74">
        <f>O9*(1+N10)</f>
        <v>12293.46576</v>
      </c>
      <c r="P10" s="24">
        <f>O10/Z10</f>
        <v>0.1497843694142678</v>
      </c>
      <c r="Q10" s="68">
        <f>-0.2177-$Q$4</f>
        <v>-0.2202</v>
      </c>
      <c r="R10" s="74">
        <f>R9*(1+Q10)</f>
        <v>10496.41992</v>
      </c>
      <c r="S10" s="76">
        <f>R10/Z10</f>
        <v>0.12788904850088095</v>
      </c>
      <c r="T10" s="68">
        <f>-0.232-$T$4</f>
        <v>-0.23550000000000001</v>
      </c>
      <c r="U10" s="74">
        <f>U9*(1+T10)</f>
        <v>13510.243999999999</v>
      </c>
      <c r="V10" s="24">
        <f>U10/Z10</f>
        <v>0.16460967294977807</v>
      </c>
      <c r="W10" s="69">
        <f>-0.1535-$W$4</f>
        <v>-0.157</v>
      </c>
      <c r="X10" s="74">
        <f>X9*(1+W10)</f>
        <v>7316.565599999999</v>
      </c>
      <c r="Y10" s="24">
        <f>X10/Z10</f>
        <v>0.0891455010384414</v>
      </c>
      <c r="Z10" s="75">
        <f t="shared" si="0"/>
        <v>82074.42344</v>
      </c>
      <c r="AB10" s="27">
        <f>SUM(D10,G10,J10,M10,P10,S10,V10,Y10)</f>
        <v>1</v>
      </c>
    </row>
    <row r="11" spans="2:28" ht="12.75">
      <c r="B11" s="68"/>
      <c r="C11" s="71">
        <f>$Z$10*C6</f>
        <v>8207.442344000001</v>
      </c>
      <c r="D11" s="62"/>
      <c r="E11" s="69"/>
      <c r="F11" s="71">
        <f>$Z$10*F6</f>
        <v>8207.442344000001</v>
      </c>
      <c r="G11" s="78"/>
      <c r="H11" s="19"/>
      <c r="I11" s="71">
        <f>$Z$10*I6</f>
        <v>4103.7211720000005</v>
      </c>
      <c r="J11" s="62"/>
      <c r="K11" s="68"/>
      <c r="L11" s="71">
        <f>$Z$10*L6</f>
        <v>12311.163515999999</v>
      </c>
      <c r="M11" s="62"/>
      <c r="N11" s="68"/>
      <c r="O11" s="71">
        <f>$Z$10*O6</f>
        <v>12311.163515999999</v>
      </c>
      <c r="P11" s="62"/>
      <c r="Q11" s="68"/>
      <c r="R11" s="71">
        <f>$Z$10*R6</f>
        <v>12311.163515999999</v>
      </c>
      <c r="S11" s="62"/>
      <c r="T11" s="68"/>
      <c r="U11" s="71">
        <f>$Z$10*U6</f>
        <v>16414.884688000002</v>
      </c>
      <c r="V11" s="62"/>
      <c r="W11" s="69"/>
      <c r="X11" s="71">
        <f>$Z$10*X6</f>
        <v>8207.442344000001</v>
      </c>
      <c r="Y11" s="62"/>
      <c r="Z11" s="75"/>
      <c r="AB11" s="27"/>
    </row>
    <row r="12" spans="1:28" ht="12.75">
      <c r="A12">
        <v>1991</v>
      </c>
      <c r="B12" s="19">
        <f>0.412-$B$4</f>
        <v>0.41019999999999995</v>
      </c>
      <c r="C12" s="71">
        <f>C11*(1+B12)</f>
        <v>11574.1351935088</v>
      </c>
      <c r="D12" s="24">
        <f>C12/Z12</f>
        <v>0.10616577580365881</v>
      </c>
      <c r="E12" s="19">
        <f>47%-$E$4</f>
        <v>0.46749999999999997</v>
      </c>
      <c r="F12" s="71">
        <f>F11*(1+E12)</f>
        <v>12044.421639820002</v>
      </c>
      <c r="G12" s="24">
        <f>F12/Z12</f>
        <v>0.11047956034028458</v>
      </c>
      <c r="H12" s="19">
        <f>51.2%-$F$4</f>
        <v>0.512</v>
      </c>
      <c r="I12" s="71">
        <f>I11*(1+H12)</f>
        <v>6204.826412064001</v>
      </c>
      <c r="J12" s="24">
        <f>I12/Z12</f>
        <v>0.056914853572235184</v>
      </c>
      <c r="K12" s="20">
        <f>24.6%-$K$4</f>
        <v>0.24420000000000003</v>
      </c>
      <c r="L12" s="71">
        <f>L11*(1+K12)</f>
        <v>15317.549646607198</v>
      </c>
      <c r="M12" s="24">
        <f>L12/Z12</f>
        <v>0.14050289844161706</v>
      </c>
      <c r="N12" s="20">
        <f>37.9%-$N$4</f>
        <v>0.3765</v>
      </c>
      <c r="O12" s="71">
        <f>O11*(1+N12)</f>
        <v>16946.316579774</v>
      </c>
      <c r="P12" s="24">
        <f>O12/Z12</f>
        <v>0.15544304750432883</v>
      </c>
      <c r="Q12" s="20">
        <f>41.7%-$Q$4</f>
        <v>0.41450000000000004</v>
      </c>
      <c r="R12" s="71">
        <f>R11*(1+Q12)</f>
        <v>17414.140793382</v>
      </c>
      <c r="S12" s="24">
        <f>R12/Z12</f>
        <v>0.15973424678160053</v>
      </c>
      <c r="T12" s="20">
        <f>12.5%-$T$4</f>
        <v>0.1215</v>
      </c>
      <c r="U12" s="71">
        <f>U11*(1+T12)</f>
        <v>18409.293177592</v>
      </c>
      <c r="V12" s="24">
        <f>U12/Z12</f>
        <v>0.16886245577053374</v>
      </c>
      <c r="W12" s="67">
        <f>0.357-$W$4</f>
        <v>0.3535</v>
      </c>
      <c r="X12" s="71">
        <f>X11*(1+W12)</f>
        <v>11108.773212604001</v>
      </c>
      <c r="Y12" s="24">
        <f>X12/Z12</f>
        <v>0.10189716178574117</v>
      </c>
      <c r="Z12" s="75">
        <f t="shared" si="0"/>
        <v>109019.45665535201</v>
      </c>
      <c r="AA12" s="15" t="s">
        <v>23</v>
      </c>
      <c r="AB12" s="27">
        <f>SUM(D12,G12,J12,M12,P12,S12,V12,Y12)</f>
        <v>0.9999999999999999</v>
      </c>
    </row>
    <row r="13" spans="1:28" ht="12.75">
      <c r="A13">
        <f>A12+1</f>
        <v>1992</v>
      </c>
      <c r="B13" s="20">
        <f>5%-$B$4</f>
        <v>0.0482</v>
      </c>
      <c r="C13" s="74">
        <f>C12*(1+B13)</f>
        <v>12132.008509835925</v>
      </c>
      <c r="D13" s="24">
        <f>C13/Z13</f>
        <v>0.10012795313613006</v>
      </c>
      <c r="E13" s="19">
        <f>8.7%-$E$4</f>
        <v>0.08449999999999999</v>
      </c>
      <c r="F13" s="74">
        <f>F12*(1+E13)</f>
        <v>13062.175268384794</v>
      </c>
      <c r="G13" s="24">
        <f>F13/Z13</f>
        <v>0.10780481006655984</v>
      </c>
      <c r="H13" s="19">
        <f>7.8%-$F$4</f>
        <v>0.078</v>
      </c>
      <c r="I13" s="74">
        <f>I12*(1+H13)</f>
        <v>6688.802872204993</v>
      </c>
      <c r="J13" s="24">
        <f>I13/Z13</f>
        <v>0.05520406122217691</v>
      </c>
      <c r="K13" s="20">
        <f>13.8%-$K$4</f>
        <v>0.13620000000000002</v>
      </c>
      <c r="L13" s="74">
        <f>L12*(1+K13)</f>
        <v>17403.7999084751</v>
      </c>
      <c r="M13" s="24">
        <f>L13/Z13</f>
        <v>0.1436371281979876</v>
      </c>
      <c r="N13" s="20">
        <f>21.68%-$N$4</f>
        <v>0.2143</v>
      </c>
      <c r="O13" s="74">
        <f>O12*(1+N13)</f>
        <v>20577.912222819567</v>
      </c>
      <c r="P13" s="24">
        <f>O13/Z13</f>
        <v>0.16983372778014486</v>
      </c>
      <c r="Q13" s="20">
        <f>29.2%-$Q$4</f>
        <v>0.2895</v>
      </c>
      <c r="R13" s="74">
        <f>R12*(1+Q13)</f>
        <v>22455.53455306609</v>
      </c>
      <c r="S13" s="24">
        <f>R13/Z13</f>
        <v>0.18533012975990393</v>
      </c>
      <c r="T13" s="20">
        <f>-11.9%-$T$4</f>
        <v>-0.12250000000000001</v>
      </c>
      <c r="U13" s="74">
        <f>U12*(1+T13)</f>
        <v>16154.15476333698</v>
      </c>
      <c r="V13" s="25">
        <f>U13/Z13</f>
        <v>0.13332355065410947</v>
      </c>
      <c r="W13" s="67">
        <f>0.1459-$W$4</f>
        <v>0.1424</v>
      </c>
      <c r="X13" s="73">
        <f>X12*(1+W13)</f>
        <v>12690.662518078812</v>
      </c>
      <c r="Y13" s="24">
        <f>X13/Z13</f>
        <v>0.1047386391829874</v>
      </c>
      <c r="Z13" s="72">
        <f t="shared" si="0"/>
        <v>121165.05061620225</v>
      </c>
      <c r="AA13" s="15" t="s">
        <v>24</v>
      </c>
      <c r="AB13" s="27">
        <f>SUM(D13,G13,J13,M13,P13,S13,V13,Y13)</f>
        <v>1</v>
      </c>
    </row>
    <row r="14" spans="2:27" ht="12.75">
      <c r="B14" s="20"/>
      <c r="C14" s="74">
        <f>$Z$13*C6</f>
        <v>12116.505061620226</v>
      </c>
      <c r="D14" s="6"/>
      <c r="E14" s="19"/>
      <c r="F14" s="74">
        <f>$Z$13*F6</f>
        <v>12116.505061620226</v>
      </c>
      <c r="G14" s="6"/>
      <c r="H14" s="19"/>
      <c r="I14" s="74">
        <f>$Z$13*I6</f>
        <v>6058.252530810113</v>
      </c>
      <c r="J14" s="6"/>
      <c r="K14" s="20"/>
      <c r="L14" s="74">
        <f>$Z$13*L6</f>
        <v>18174.75759243034</v>
      </c>
      <c r="M14" s="28" t="s">
        <v>3</v>
      </c>
      <c r="N14" s="20"/>
      <c r="O14" s="74">
        <f>$Z$13*O6</f>
        <v>18174.75759243034</v>
      </c>
      <c r="P14" s="6"/>
      <c r="Q14" s="20"/>
      <c r="R14" s="74">
        <f>$Z$13*R6</f>
        <v>18174.75759243034</v>
      </c>
      <c r="S14" s="6"/>
      <c r="T14" s="20"/>
      <c r="U14" s="74">
        <f>$Z$13*U6</f>
        <v>24233.010123240452</v>
      </c>
      <c r="V14" s="6"/>
      <c r="W14" s="67"/>
      <c r="X14" s="74">
        <f>$Z$13*X6</f>
        <v>12116.505061620226</v>
      </c>
      <c r="Y14" s="62"/>
      <c r="Z14" s="72"/>
      <c r="AA14" s="15"/>
    </row>
    <row r="15" spans="1:28" ht="12.75">
      <c r="A15">
        <f>A13+1</f>
        <v>1993</v>
      </c>
      <c r="B15" s="20">
        <f>2.9%-$B$4</f>
        <v>0.0272</v>
      </c>
      <c r="C15" s="74">
        <f>C14*(1+B15)</f>
        <v>12446.073999296295</v>
      </c>
      <c r="D15" s="24">
        <f>C15/Z15</f>
        <v>0.08630844851489308</v>
      </c>
      <c r="E15" s="19">
        <f>11.2%-$E$4</f>
        <v>0.10949999999999999</v>
      </c>
      <c r="F15" s="74">
        <f>F14*(1+E15)</f>
        <v>13443.26236586764</v>
      </c>
      <c r="G15" s="24">
        <f>F15/Z15</f>
        <v>0.09322354325085074</v>
      </c>
      <c r="H15" s="19">
        <f>13.4%-$F$4</f>
        <v>0.134</v>
      </c>
      <c r="I15" s="74">
        <f>I14*(1+H15)</f>
        <v>6870.058369938668</v>
      </c>
      <c r="J15" s="24">
        <f>I15/Z15</f>
        <v>0.04764105364869974</v>
      </c>
      <c r="K15" s="20">
        <f>18.1%-$K$4</f>
        <v>0.17920000000000003</v>
      </c>
      <c r="L15" s="74">
        <f>L14*(1+K15)</f>
        <v>21431.674152993855</v>
      </c>
      <c r="M15" s="24">
        <f>L15/Z15</f>
        <v>0.14861992185858924</v>
      </c>
      <c r="N15" s="20">
        <f>15.6%-$N$4</f>
        <v>0.1535</v>
      </c>
      <c r="O15" s="74">
        <f>O14*(1+N15)</f>
        <v>20964.582882868395</v>
      </c>
      <c r="P15" s="24">
        <f>O15/Z15</f>
        <v>0.14538083434861152</v>
      </c>
      <c r="Q15" s="20">
        <f>23.9%-$Q$4</f>
        <v>0.2365</v>
      </c>
      <c r="R15" s="74">
        <f>R14*(1+Q15)</f>
        <v>22473.087763040112</v>
      </c>
      <c r="S15" s="24">
        <f>R15/Z15</f>
        <v>0.1558417006259715</v>
      </c>
      <c r="T15" s="20">
        <f>32.9%-$T$4</f>
        <v>0.32549999999999996</v>
      </c>
      <c r="U15" s="74">
        <f>U14*(1+T15)</f>
        <v>32120.854918355217</v>
      </c>
      <c r="V15" s="24">
        <f>U15/Z15</f>
        <v>0.22274503213880603</v>
      </c>
      <c r="W15" s="67">
        <f>0.1965-$W$4</f>
        <v>0.193</v>
      </c>
      <c r="X15" s="74">
        <f>X14*(1+W15)</f>
        <v>14454.990538512931</v>
      </c>
      <c r="Y15" s="24">
        <f>X15/Z15</f>
        <v>0.10023946561357813</v>
      </c>
      <c r="Z15" s="72">
        <f t="shared" si="0"/>
        <v>144204.58499087312</v>
      </c>
      <c r="AA15" s="15" t="s">
        <v>23</v>
      </c>
      <c r="AB15" s="27">
        <f>SUM(D15,G15,J15,M15,P15,S15,V15,Y15)</f>
        <v>0.9999999999999999</v>
      </c>
    </row>
    <row r="16" spans="1:28" ht="12.75">
      <c r="A16">
        <f>A15+1</f>
        <v>1994</v>
      </c>
      <c r="B16" s="20">
        <f>2.6%-$B$4</f>
        <v>0.024200000000000003</v>
      </c>
      <c r="C16" s="74">
        <f>C15*(1+B16)</f>
        <v>12747.268990079267</v>
      </c>
      <c r="D16" s="24">
        <f>C16/Z16</f>
        <v>0.08753415119762305</v>
      </c>
      <c r="E16" s="19">
        <f>-2.2%-$E$4</f>
        <v>-0.0245</v>
      </c>
      <c r="F16" s="74">
        <f>F15*(1+E16)</f>
        <v>13113.902437903884</v>
      </c>
      <c r="G16" s="24">
        <f>F16/Z16</f>
        <v>0.09005178440054382</v>
      </c>
      <c r="H16" s="19">
        <f>-2.4%-$F$4</f>
        <v>-0.024</v>
      </c>
      <c r="I16" s="74">
        <f>I15*(1+H16)</f>
        <v>6705.1769690601395</v>
      </c>
      <c r="J16" s="24">
        <f>I16/Z16</f>
        <v>0.046043742787048564</v>
      </c>
      <c r="K16" s="20">
        <f>-2%-$K$4</f>
        <v>-0.0218</v>
      </c>
      <c r="L16" s="74">
        <f>L15*(1+K16)</f>
        <v>20964.46365645859</v>
      </c>
      <c r="M16" s="24">
        <f>L16/Z16</f>
        <v>0.14396075998001734</v>
      </c>
      <c r="N16" s="20">
        <f>-2.1%-$K$4</f>
        <v>-0.0228</v>
      </c>
      <c r="O16" s="74">
        <f>O15*(1+N16)</f>
        <v>20486.590393138995</v>
      </c>
      <c r="P16" s="24">
        <f>O16/Z16</f>
        <v>0.14067925470094356</v>
      </c>
      <c r="Q16" s="20">
        <f>-1.5%-$L$4</f>
        <v>-0.015</v>
      </c>
      <c r="R16" s="74">
        <f>R15*(1+Q16)</f>
        <v>22135.99144659451</v>
      </c>
      <c r="S16" s="24">
        <f>R16/Z16</f>
        <v>0.1520055177076361</v>
      </c>
      <c r="T16" s="20">
        <f>8.1%-$T$4</f>
        <v>0.0775</v>
      </c>
      <c r="U16" s="74">
        <f>U15*(1+T16)</f>
        <v>34610.221174527745</v>
      </c>
      <c r="V16" s="24">
        <f>U16/Z16</f>
        <v>0.23766473710032282</v>
      </c>
      <c r="W16" s="67">
        <f>0.0317-$W$4</f>
        <v>0.0282</v>
      </c>
      <c r="X16" s="73">
        <f>X15*(1+W16)</f>
        <v>14862.621271698996</v>
      </c>
      <c r="Y16" s="24">
        <f aca="true" t="shared" si="1" ref="Y16:Y32">X16/Z16</f>
        <v>0.10206005212586469</v>
      </c>
      <c r="Z16" s="72">
        <f t="shared" si="0"/>
        <v>145626.23633946214</v>
      </c>
      <c r="AA16" s="15" t="s">
        <v>23</v>
      </c>
      <c r="AB16" s="27">
        <f>SUM(D16,G16,J16,M16,P16,S16,V16,Y16)</f>
        <v>0.9999999999999999</v>
      </c>
    </row>
    <row r="17" spans="1:28" ht="12.75">
      <c r="A17">
        <f>A16+1</f>
        <v>1995</v>
      </c>
      <c r="B17" s="20">
        <f>37.2%-$B$4</f>
        <v>0.37020000000000003</v>
      </c>
      <c r="C17" s="74">
        <f>C16*(1+B17)</f>
        <v>17466.307970206613</v>
      </c>
      <c r="D17" s="24">
        <f>C17/Z17</f>
        <v>0.09506614900680935</v>
      </c>
      <c r="E17" s="19">
        <f>34%-$E$4</f>
        <v>0.3375</v>
      </c>
      <c r="F17" s="74">
        <f>F16*(1+E17)</f>
        <v>17539.844510696443</v>
      </c>
      <c r="G17" s="24">
        <f>F17/Z17</f>
        <v>0.09546639591231314</v>
      </c>
      <c r="H17" s="19">
        <f>31%-$F$4</f>
        <v>0.31</v>
      </c>
      <c r="I17" s="74">
        <f>I16*(1+H17)</f>
        <v>8783.781829468782</v>
      </c>
      <c r="J17" s="24">
        <f>I17/Z17</f>
        <v>0.047808633265139074</v>
      </c>
      <c r="K17" s="20">
        <f>38.4%-$K$4</f>
        <v>0.3822</v>
      </c>
      <c r="L17" s="74">
        <f>L16*(1+K17)</f>
        <v>28977.081665957063</v>
      </c>
      <c r="M17" s="24">
        <f>L17/Z17</f>
        <v>0.15771733603560012</v>
      </c>
      <c r="N17" s="20">
        <f>34.9%-$N$4</f>
        <v>0.3465</v>
      </c>
      <c r="O17" s="74">
        <f>O16*(1+N17)</f>
        <v>27585.193964361657</v>
      </c>
      <c r="P17" s="24">
        <f>O17/Z17</f>
        <v>0.15014152757817895</v>
      </c>
      <c r="Q17" s="20">
        <f>25.8%-$Q$4</f>
        <v>0.2555</v>
      </c>
      <c r="R17" s="74">
        <f>R16*(1+Q17)</f>
        <v>27791.73726119941</v>
      </c>
      <c r="S17" s="24">
        <f>R17/Z17</f>
        <v>0.15126570767777578</v>
      </c>
      <c r="T17" s="20">
        <f>11.6%-$T$4</f>
        <v>0.11249999999999999</v>
      </c>
      <c r="U17" s="74">
        <f>U16*(1+T17)</f>
        <v>38503.871056662116</v>
      </c>
      <c r="V17" s="24">
        <f>U17/Z17</f>
        <v>0.20957003331530713</v>
      </c>
      <c r="W17" s="67">
        <f>0.1527-$W$4</f>
        <v>0.1492</v>
      </c>
      <c r="X17" s="73">
        <f>X16*(1+W17)</f>
        <v>17080.124365436484</v>
      </c>
      <c r="Y17" s="24">
        <f t="shared" si="1"/>
        <v>0.09296421720887657</v>
      </c>
      <c r="Z17" s="72">
        <f t="shared" si="0"/>
        <v>183727.94262398855</v>
      </c>
      <c r="AA17" s="15" t="s">
        <v>23</v>
      </c>
      <c r="AB17" s="27">
        <f>SUM(D17,G17,J17,M17,P17,S17,V17,Y17)</f>
        <v>1</v>
      </c>
    </row>
    <row r="18" spans="1:28" ht="12.75">
      <c r="A18">
        <f>A17+1</f>
        <v>1996</v>
      </c>
      <c r="B18" s="20">
        <f>23.1%-$B$4</f>
        <v>0.22920000000000001</v>
      </c>
      <c r="C18" s="74">
        <f>C17*(1+B18)</f>
        <v>21469.58575697797</v>
      </c>
      <c r="D18" s="24">
        <f>C18/Z18</f>
        <v>0.09863865385896556</v>
      </c>
      <c r="E18" s="19">
        <f>17.5%-$E$4</f>
        <v>0.1725</v>
      </c>
      <c r="F18" s="74">
        <f>F17*(1+E18)</f>
        <v>20565.467688791578</v>
      </c>
      <c r="G18" s="24">
        <f>F18/Z18</f>
        <v>0.09448482480120235</v>
      </c>
      <c r="H18" s="19">
        <f>11.3%-$F$4</f>
        <v>0.113</v>
      </c>
      <c r="I18" s="74">
        <f>I17*(1+H18)</f>
        <v>9776.349176198755</v>
      </c>
      <c r="J18" s="24">
        <f>I18/Z18</f>
        <v>0.044915907242506076</v>
      </c>
      <c r="K18" s="20">
        <f>21.6%-$K$4</f>
        <v>0.21420000000000003</v>
      </c>
      <c r="L18" s="74">
        <f>L17*(1+K18)</f>
        <v>35183.972558805064</v>
      </c>
      <c r="M18" s="24">
        <f>L18/Z18</f>
        <v>0.1616472590526506</v>
      </c>
      <c r="N18" s="20">
        <f>20.3%-$N$4</f>
        <v>0.2005</v>
      </c>
      <c r="O18" s="74">
        <f>O17*(1+N18)</f>
        <v>33116.025354216166</v>
      </c>
      <c r="P18" s="24">
        <f>O18/Z18</f>
        <v>0.15214639905372104</v>
      </c>
      <c r="Q18" s="20">
        <f>21.4%-$Q$4</f>
        <v>0.2115</v>
      </c>
      <c r="R18" s="74">
        <f>R17*(1+Q18)</f>
        <v>33669.68969194309</v>
      </c>
      <c r="S18" s="24">
        <f>R18/Z18</f>
        <v>0.1546901232588026</v>
      </c>
      <c r="T18" s="20">
        <f>6.4%-$T$4</f>
        <v>0.0605</v>
      </c>
      <c r="U18" s="74">
        <f>U17*(1+T18)</f>
        <v>40833.35525559018</v>
      </c>
      <c r="V18" s="24">
        <f>U18/Z18</f>
        <v>0.1876024642742465</v>
      </c>
      <c r="W18" s="67">
        <f>0.3527-$W$4</f>
        <v>0.3492</v>
      </c>
      <c r="X18" s="73">
        <f>X17*(1+W18)</f>
        <v>23044.503793846903</v>
      </c>
      <c r="Y18" s="24">
        <f t="shared" si="1"/>
        <v>0.10587436845790539</v>
      </c>
      <c r="Z18" s="72">
        <f t="shared" si="0"/>
        <v>217658.94927636968</v>
      </c>
      <c r="AA18" s="15" t="s">
        <v>23</v>
      </c>
      <c r="AB18" s="27">
        <f>SUM(D18,G18,J18,M18,P18,S18,V18,Y18)</f>
        <v>1.0000000000000002</v>
      </c>
    </row>
    <row r="19" spans="1:28" ht="12.75">
      <c r="A19">
        <f>A18+1</f>
        <v>1997</v>
      </c>
      <c r="B19" s="20">
        <f>30.5%-$B$4</f>
        <v>0.30319999999999997</v>
      </c>
      <c r="C19" s="74">
        <f>C18*(1+B19)</f>
        <v>27979.164158493688</v>
      </c>
      <c r="D19" s="24">
        <f>C19/Z19</f>
        <v>0.1037913118537163</v>
      </c>
      <c r="E19" s="19">
        <f>22.5%-$E$4</f>
        <v>0.2225</v>
      </c>
      <c r="F19" s="74">
        <f>F18*(1+E19)</f>
        <v>25141.2842495477</v>
      </c>
      <c r="G19" s="24">
        <f>F19/Z19</f>
        <v>0.0932639323736044</v>
      </c>
      <c r="H19" s="19">
        <f>13%-$F$4</f>
        <v>0.13</v>
      </c>
      <c r="I19" s="74">
        <f>I18*(1+H19)</f>
        <v>11047.274569104593</v>
      </c>
      <c r="J19" s="24">
        <f>I19/Z19</f>
        <v>0.04098089254705221</v>
      </c>
      <c r="K19" s="20">
        <f>35.2%-$K$4</f>
        <v>0.3502</v>
      </c>
      <c r="L19" s="74">
        <f>L18*(1+K19)</f>
        <v>47505.3997488986</v>
      </c>
      <c r="M19" s="24">
        <f>L19/Z19</f>
        <v>0.17622569895736448</v>
      </c>
      <c r="N19" s="20">
        <f>34.4%-$N$4</f>
        <v>0.34149999999999997</v>
      </c>
      <c r="O19" s="74">
        <f>O18*(1+N19)</f>
        <v>44425.148012680984</v>
      </c>
      <c r="P19" s="24">
        <f>O19/Z19</f>
        <v>0.16479921864041547</v>
      </c>
      <c r="Q19" s="20">
        <f>31.8%-$Q$4</f>
        <v>0.3155</v>
      </c>
      <c r="R19" s="74">
        <f>R18*(1+Q19)</f>
        <v>44292.476789751134</v>
      </c>
      <c r="S19" s="24">
        <f>R19/Z19</f>
        <v>0.1643070623988951</v>
      </c>
      <c r="T19" s="20">
        <f>2.1%-$T$4</f>
        <v>0.0175</v>
      </c>
      <c r="U19" s="74">
        <f>U18*(1+T19)</f>
        <v>41547.93897256301</v>
      </c>
      <c r="V19" s="25">
        <f>U19/Z19</f>
        <v>0.1541259440901262</v>
      </c>
      <c r="W19" s="67">
        <f>0.2026-$W$4</f>
        <v>0.1991</v>
      </c>
      <c r="X19" s="73">
        <f>X18*(1+W19)</f>
        <v>27632.664499201823</v>
      </c>
      <c r="Y19" s="24">
        <f t="shared" si="1"/>
        <v>0.10250593913882586</v>
      </c>
      <c r="Z19" s="72">
        <f t="shared" si="0"/>
        <v>269571.3510002415</v>
      </c>
      <c r="AA19" s="15" t="s">
        <v>24</v>
      </c>
      <c r="AB19" s="27">
        <f>SUM(D19,G19,J19,M19,P19,S19,V19,Y19)</f>
        <v>1</v>
      </c>
    </row>
    <row r="20" spans="2:27" ht="12.75">
      <c r="B20" s="20"/>
      <c r="C20" s="74">
        <f>$Z$19*C6</f>
        <v>26957.135100024156</v>
      </c>
      <c r="D20" s="6"/>
      <c r="E20" s="19"/>
      <c r="F20" s="74">
        <f>$Z$19*F6</f>
        <v>26957.135100024156</v>
      </c>
      <c r="G20" s="6"/>
      <c r="H20" s="19"/>
      <c r="I20" s="74">
        <f>$Z$19*I6</f>
        <v>13478.567550012078</v>
      </c>
      <c r="J20" s="6"/>
      <c r="K20" s="20"/>
      <c r="L20" s="74">
        <f>$Z$19*L6</f>
        <v>40435.702650036226</v>
      </c>
      <c r="M20" s="26"/>
      <c r="N20" s="20"/>
      <c r="O20" s="74">
        <f>$Z$19*O6</f>
        <v>40435.702650036226</v>
      </c>
      <c r="P20" s="6"/>
      <c r="Q20" s="20"/>
      <c r="R20" s="74">
        <f>$Z$19*R6</f>
        <v>40435.702650036226</v>
      </c>
      <c r="S20" s="6"/>
      <c r="T20" s="20"/>
      <c r="U20" s="74">
        <f>$Z$19*U6</f>
        <v>53914.27020004831</v>
      </c>
      <c r="V20" s="6"/>
      <c r="W20" s="67"/>
      <c r="X20" s="74">
        <f>$Z$19*X6</f>
        <v>26957.135100024156</v>
      </c>
      <c r="Y20" s="62"/>
      <c r="Z20" s="72"/>
      <c r="AA20" s="15"/>
    </row>
    <row r="21" spans="1:28" ht="12.75">
      <c r="A21">
        <f>A19+1</f>
        <v>1998</v>
      </c>
      <c r="B21" s="20">
        <f>38.7%-$B$4</f>
        <v>0.3852</v>
      </c>
      <c r="C21" s="74">
        <f>C20*(1+B21)</f>
        <v>37341.02354055346</v>
      </c>
      <c r="D21" s="24">
        <f>C21/Z21</f>
        <v>0.1260303884996816</v>
      </c>
      <c r="E21" s="19">
        <f>17.9%-$E$4</f>
        <v>0.1765</v>
      </c>
      <c r="F21" s="74">
        <f>F20*(1+E21)</f>
        <v>31715.069445178415</v>
      </c>
      <c r="G21" s="24">
        <f>F21/Z21</f>
        <v>0.10704212537530707</v>
      </c>
      <c r="H21" s="19">
        <f>1.2%-$F$4</f>
        <v>0.012</v>
      </c>
      <c r="I21" s="74">
        <f>I20*(1+H21)</f>
        <v>13640.310360612222</v>
      </c>
      <c r="J21" s="24">
        <f>I21/Z21</f>
        <v>0.04603766718224002</v>
      </c>
      <c r="K21" s="20">
        <f>15.6%-$K$4</f>
        <v>0.1542</v>
      </c>
      <c r="L21" s="74">
        <f>L20*(1+K21)</f>
        <v>46670.88799867181</v>
      </c>
      <c r="M21" s="24">
        <f>L21/Z21</f>
        <v>0.15751978891820578</v>
      </c>
      <c r="N21" s="20">
        <f>5.1%-$N$4</f>
        <v>0.048499999999999995</v>
      </c>
      <c r="O21" s="74">
        <f>O20*(1+N21)</f>
        <v>42396.834228562984</v>
      </c>
      <c r="P21" s="24">
        <f>O21/Z21</f>
        <v>0.143094349922664</v>
      </c>
      <c r="Q21" s="20">
        <f>-6.5%-$Q$4</f>
        <v>-0.0675</v>
      </c>
      <c r="R21" s="74">
        <f>R20*(1+Q21)</f>
        <v>37706.29272115878</v>
      </c>
      <c r="S21" s="24">
        <f>R21/Z21</f>
        <v>0.12726321535802018</v>
      </c>
      <c r="T21" s="20">
        <f>20.3%-$T$4</f>
        <v>0.1995</v>
      </c>
      <c r="U21" s="74">
        <f>U20*(1+T21)</f>
        <v>64670.16710495795</v>
      </c>
      <c r="V21" s="24">
        <f>U21/Z21</f>
        <v>0.21826949322172692</v>
      </c>
      <c r="W21" s="67">
        <f>-0.175-$W$4</f>
        <v>-0.1785</v>
      </c>
      <c r="X21" s="74">
        <f>X20*(1+W21)</f>
        <v>22145.286484669843</v>
      </c>
      <c r="Y21" s="25">
        <f t="shared" si="1"/>
        <v>0.0747429715221545</v>
      </c>
      <c r="Z21" s="72">
        <f t="shared" si="0"/>
        <v>296285.87188436545</v>
      </c>
      <c r="AA21" s="15" t="s">
        <v>23</v>
      </c>
      <c r="AB21" s="27">
        <f>SUM(D21,G21,J21,M21,P21,S21,V21,Y21)</f>
        <v>1.0000000000000002</v>
      </c>
    </row>
    <row r="22" spans="1:28" ht="12.75">
      <c r="A22">
        <f>A21+1</f>
        <v>1999</v>
      </c>
      <c r="B22" s="20">
        <f>33.2%-$B$4</f>
        <v>0.3302</v>
      </c>
      <c r="C22" s="74">
        <f>C21*(1+B22)</f>
        <v>49671.029513644215</v>
      </c>
      <c r="D22" s="25">
        <f>C22/Z22</f>
        <v>0.14208985704427066</v>
      </c>
      <c r="E22" s="19">
        <f>51.3%-$E$4</f>
        <v>0.5105000000000001</v>
      </c>
      <c r="F22" s="74">
        <f>F21*(1+E22)</f>
        <v>47905.61239694199</v>
      </c>
      <c r="G22" s="79">
        <f>F22/Z22</f>
        <v>0.13703967249621693</v>
      </c>
      <c r="H22" s="19">
        <f>43.1%-$F$4</f>
        <v>0.431</v>
      </c>
      <c r="I22" s="74">
        <f>I21*(1+H22)</f>
        <v>19519.28412603609</v>
      </c>
      <c r="J22" s="24">
        <f>I22/Z22</f>
        <v>0.055837221781624535</v>
      </c>
      <c r="K22" s="20">
        <f>7.4%-$K$4</f>
        <v>0.07220000000000001</v>
      </c>
      <c r="L22" s="74">
        <f>L21*(1+K22)</f>
        <v>50040.52611217592</v>
      </c>
      <c r="M22" s="24">
        <f>L22/Z22</f>
        <v>0.14314684578353754</v>
      </c>
      <c r="N22" s="20">
        <f>-0.1%-$N$4</f>
        <v>-0.0035</v>
      </c>
      <c r="O22" s="74">
        <f>O21*(1+N22)</f>
        <v>42248.44530876302</v>
      </c>
      <c r="P22" s="24">
        <f>O22/Z22</f>
        <v>0.120856676679428</v>
      </c>
      <c r="Q22" s="20">
        <f>-1.5%-$Q$4</f>
        <v>-0.017499999999999998</v>
      </c>
      <c r="R22" s="74">
        <f>R21*(1+Q22)</f>
        <v>37046.43259853851</v>
      </c>
      <c r="S22" s="25">
        <f>R22/Z22</f>
        <v>0.10597570381504957</v>
      </c>
      <c r="T22" s="20">
        <f>27.3%-$T$4</f>
        <v>0.2695</v>
      </c>
      <c r="U22" s="74">
        <f>U21*(1+T22)</f>
        <v>82098.77713974412</v>
      </c>
      <c r="V22" s="24">
        <f>U22/Z22</f>
        <v>0.23485326600873635</v>
      </c>
      <c r="W22" s="67">
        <f>-0.0462-$W$4</f>
        <v>-0.0497</v>
      </c>
      <c r="X22" s="74">
        <f>X21*(1+W22)</f>
        <v>21044.665746381754</v>
      </c>
      <c r="Y22" s="25">
        <f t="shared" si="1"/>
        <v>0.06020075639113642</v>
      </c>
      <c r="Z22" s="72">
        <f t="shared" si="0"/>
        <v>349574.7729422256</v>
      </c>
      <c r="AA22" s="15" t="s">
        <v>24</v>
      </c>
      <c r="AB22" s="27">
        <f>SUM(D22,G22,J22,M22,P22,S22,V22,Y22)</f>
        <v>1</v>
      </c>
    </row>
    <row r="23" spans="2:28" ht="12.75">
      <c r="B23" s="20"/>
      <c r="C23" s="74">
        <f>$Z$22*C6</f>
        <v>34957.47729422256</v>
      </c>
      <c r="D23" s="6"/>
      <c r="E23" s="19"/>
      <c r="F23" s="74">
        <f>$Z$22*F6</f>
        <v>34957.47729422256</v>
      </c>
      <c r="G23" s="6"/>
      <c r="H23" s="19"/>
      <c r="I23" s="74">
        <f>$Z$22*I6</f>
        <v>17478.73864711128</v>
      </c>
      <c r="J23" s="6"/>
      <c r="K23" s="20"/>
      <c r="L23" s="74">
        <f>$Z$22*L6</f>
        <v>52436.215941333845</v>
      </c>
      <c r="M23" s="26"/>
      <c r="N23" s="20"/>
      <c r="O23" s="74">
        <f>$Z$22*O6</f>
        <v>52436.215941333845</v>
      </c>
      <c r="P23" s="6"/>
      <c r="Q23" s="20"/>
      <c r="R23" s="74">
        <f>$Z$22*R6</f>
        <v>52436.215941333845</v>
      </c>
      <c r="S23" s="6"/>
      <c r="T23" s="20"/>
      <c r="U23" s="74">
        <f>$Z$22*U6</f>
        <v>69914.95458844512</v>
      </c>
      <c r="V23" s="6"/>
      <c r="W23" s="67"/>
      <c r="X23" s="74">
        <f>$Z$22*X6</f>
        <v>34957.47729422256</v>
      </c>
      <c r="Y23" s="62"/>
      <c r="Z23" s="72"/>
      <c r="AA23" s="15"/>
      <c r="AB23" s="27" t="s">
        <v>3</v>
      </c>
    </row>
    <row r="24" spans="1:28" ht="12.75">
      <c r="A24">
        <f>A22+1</f>
        <v>2000</v>
      </c>
      <c r="B24" s="20">
        <f>-22.4%-$B$4</f>
        <v>-0.22579999999999997</v>
      </c>
      <c r="C24" s="74">
        <f>C23*(1+B24)</f>
        <v>27064.078921187105</v>
      </c>
      <c r="D24" s="24">
        <f>C24/Z24</f>
        <v>0.07560768381886186</v>
      </c>
      <c r="E24" s="19">
        <f>-11.8%-$E$4</f>
        <v>-0.12050000000000001</v>
      </c>
      <c r="F24" s="74">
        <f>F23*(1+E24)</f>
        <v>30745.10128026874</v>
      </c>
      <c r="G24" s="24">
        <f>F24/Z24</f>
        <v>0.08589118821840482</v>
      </c>
      <c r="H24" s="19">
        <f>-22.4%-$F$4</f>
        <v>-0.22399999999999998</v>
      </c>
      <c r="I24" s="74">
        <f>I23*(1+H24)</f>
        <v>13563.501190158355</v>
      </c>
      <c r="J24" s="24">
        <f>I24/Z24</f>
        <v>0.03789173510942703</v>
      </c>
      <c r="K24" s="20">
        <f>7%-$K$4</f>
        <v>0.06820000000000001</v>
      </c>
      <c r="L24" s="74">
        <f>L23*(1+K24)</f>
        <v>56012.36586853281</v>
      </c>
      <c r="M24" s="24">
        <f>L24/Z24</f>
        <v>0.1564791937263787</v>
      </c>
      <c r="N24" s="20">
        <f>19.2%-$N$4</f>
        <v>0.1895</v>
      </c>
      <c r="O24" s="74">
        <f>O23*(1+N24)</f>
        <v>62372.87886221661</v>
      </c>
      <c r="P24" s="24">
        <f>O24/Z24</f>
        <v>0.17424826899225562</v>
      </c>
      <c r="Q24" s="20">
        <f>22.8%-$Q$4</f>
        <v>0.2255</v>
      </c>
      <c r="R24" s="74">
        <f>R23*(1+Q24)</f>
        <v>64260.58263610463</v>
      </c>
      <c r="S24" s="24">
        <f>R24/Z24</f>
        <v>0.17952186099202125</v>
      </c>
      <c r="T24" s="20">
        <f>-14%-$T$4</f>
        <v>-0.14350000000000002</v>
      </c>
      <c r="U24" s="74">
        <f>U23*(1+T24)</f>
        <v>59882.15860500325</v>
      </c>
      <c r="V24" s="24">
        <f>U24/Z24</f>
        <v>0.1672900573258982</v>
      </c>
      <c r="W24" s="67">
        <f>0.2637-$W$4</f>
        <v>0.2602</v>
      </c>
      <c r="X24" s="74">
        <f>X23*(1+W24)</f>
        <v>44053.41288617927</v>
      </c>
      <c r="Y24" s="24">
        <f t="shared" si="1"/>
        <v>0.12307001181675242</v>
      </c>
      <c r="Z24" s="72">
        <f t="shared" si="0"/>
        <v>357954.0802496508</v>
      </c>
      <c r="AA24" s="15" t="s">
        <v>23</v>
      </c>
      <c r="AB24" s="27">
        <f>SUM(D24,G24,J24,M24,P24,S24,V24,Y24)</f>
        <v>1</v>
      </c>
    </row>
    <row r="25" spans="1:28" ht="12.75">
      <c r="A25">
        <f>A24+1</f>
        <v>2001</v>
      </c>
      <c r="B25" s="20">
        <f>-20.4%-$B$4</f>
        <v>-0.20579999999999998</v>
      </c>
      <c r="C25" s="74">
        <f>C24*(1+B25)</f>
        <v>21494.2914792068</v>
      </c>
      <c r="D25" s="25">
        <f>C25/Z25</f>
        <v>0.0623377299513419</v>
      </c>
      <c r="E25" s="19">
        <f>-20.2%-$E$4</f>
        <v>-0.2045</v>
      </c>
      <c r="F25" s="74">
        <f>F24*(1+E25)</f>
        <v>24457.728068453784</v>
      </c>
      <c r="G25" s="24">
        <f>F25/Z25</f>
        <v>0.07093228679017106</v>
      </c>
      <c r="H25" s="19">
        <f>-9.2%-$F$4</f>
        <v>-0.092</v>
      </c>
      <c r="I25" s="74">
        <f>I24*(1+H25)</f>
        <v>12315.659080663787</v>
      </c>
      <c r="J25" s="24">
        <f>I25/Z25</f>
        <v>0.035717866331435</v>
      </c>
      <c r="K25" s="20">
        <f>-5.6%-$K$4</f>
        <v>-0.0578</v>
      </c>
      <c r="L25" s="74">
        <f>L24*(1+K25)</f>
        <v>52774.851121331616</v>
      </c>
      <c r="M25" s="24">
        <f>L25/Z25</f>
        <v>0.15305758836509686</v>
      </c>
      <c r="N25" s="20">
        <f>2.3%-$N$4</f>
        <v>0.0205</v>
      </c>
      <c r="O25" s="74">
        <f>O24*(1+N25)</f>
        <v>63651.52287889205</v>
      </c>
      <c r="P25" s="24">
        <f>O25/Z25</f>
        <v>0.18460210461249685</v>
      </c>
      <c r="Q25" s="20">
        <f>14%-$Q$4</f>
        <v>0.1375</v>
      </c>
      <c r="R25" s="74">
        <f>R24*(1+Q25)</f>
        <v>73096.41274856901</v>
      </c>
      <c r="S25" s="25">
        <f>R25/Z25</f>
        <v>0.2119941679743274</v>
      </c>
      <c r="T25" s="20">
        <f>-21.2%-$T$4</f>
        <v>-0.2155</v>
      </c>
      <c r="U25" s="74">
        <f>U24*(1+T25)</f>
        <v>46977.55342562505</v>
      </c>
      <c r="V25" s="25">
        <f>U25/Z25</f>
        <v>0.1362442694170359</v>
      </c>
      <c r="W25" s="67">
        <f>0.1393-$W$4</f>
        <v>0.1358</v>
      </c>
      <c r="X25" s="74">
        <f>X24*(1+W25)</f>
        <v>50035.86635612241</v>
      </c>
      <c r="Y25" s="25">
        <f t="shared" si="1"/>
        <v>0.14511398655809504</v>
      </c>
      <c r="Z25" s="72">
        <f t="shared" si="0"/>
        <v>344803.8851588645</v>
      </c>
      <c r="AA25" s="15" t="s">
        <v>24</v>
      </c>
      <c r="AB25" s="27">
        <f>SUM(D25,G25,J25,M25,P25,S25,V25,Y25)</f>
        <v>1</v>
      </c>
    </row>
    <row r="26" spans="2:28" ht="12.75">
      <c r="B26" s="20"/>
      <c r="C26" s="74">
        <f>$Z$25*C6</f>
        <v>34480.38851588645</v>
      </c>
      <c r="D26" s="6"/>
      <c r="E26" s="19"/>
      <c r="F26" s="74">
        <f>$Z$25*F6</f>
        <v>34480.38851588645</v>
      </c>
      <c r="G26" s="6"/>
      <c r="H26" s="19"/>
      <c r="I26" s="74">
        <f>$Z$25*I6</f>
        <v>17240.194257943225</v>
      </c>
      <c r="J26" s="6"/>
      <c r="K26" s="20"/>
      <c r="L26" s="74">
        <f>$Z$25*L6</f>
        <v>51720.58277382967</v>
      </c>
      <c r="M26" s="26"/>
      <c r="N26" s="20"/>
      <c r="O26" s="74">
        <f>$Z$25*O6</f>
        <v>51720.58277382967</v>
      </c>
      <c r="P26" s="6"/>
      <c r="Q26" s="20"/>
      <c r="R26" s="74">
        <f>$Z$25*R6</f>
        <v>51720.58277382967</v>
      </c>
      <c r="S26" s="6"/>
      <c r="T26" s="20"/>
      <c r="U26" s="74">
        <f>$Z$25*U6</f>
        <v>68960.7770317729</v>
      </c>
      <c r="V26" s="6"/>
      <c r="W26" s="67"/>
      <c r="X26" s="74">
        <f>$Z$25*X6</f>
        <v>34480.38851588645</v>
      </c>
      <c r="Y26" s="62"/>
      <c r="Z26" s="72"/>
      <c r="AA26" s="15"/>
      <c r="AB26" s="27" t="s">
        <v>3</v>
      </c>
    </row>
    <row r="27" spans="1:28" ht="12.75">
      <c r="A27">
        <f>A25+1</f>
        <v>2002</v>
      </c>
      <c r="B27" s="20">
        <f>-27.9%-$B$4</f>
        <v>-0.2808</v>
      </c>
      <c r="C27" s="74">
        <f>C26*(1+B27)</f>
        <v>24798.295420625538</v>
      </c>
      <c r="D27" s="24">
        <f>C27/Z27</f>
        <v>0.08513963041445197</v>
      </c>
      <c r="E27" s="19">
        <f>-27.4%-$E$4</f>
        <v>-0.27649999999999997</v>
      </c>
      <c r="F27" s="74">
        <f>F26*(1+E27)</f>
        <v>24946.56109124385</v>
      </c>
      <c r="G27" s="24">
        <f>F27/Z27</f>
        <v>0.08564866880541712</v>
      </c>
      <c r="H27" s="19">
        <f>-30.3%-$F$4</f>
        <v>-0.303</v>
      </c>
      <c r="I27" s="74">
        <f>I26*(1+H27)</f>
        <v>12016.41539778643</v>
      </c>
      <c r="J27" s="24">
        <f>I27/Z27</f>
        <v>0.04125578587240894</v>
      </c>
      <c r="K27" s="20">
        <f>-15.5%-$K$4</f>
        <v>-0.1568</v>
      </c>
      <c r="L27" s="74">
        <f>L26*(1+K27)</f>
        <v>43610.795394893175</v>
      </c>
      <c r="M27" s="24">
        <f>L27/Z27</f>
        <v>0.14972831555644997</v>
      </c>
      <c r="N27" s="20">
        <f>-9.6%-$N$4</f>
        <v>-0.0985</v>
      </c>
      <c r="O27" s="74">
        <f>O26*(1+N27)</f>
        <v>46626.105370607445</v>
      </c>
      <c r="P27" s="24">
        <f>O27/Z27</f>
        <v>0.16008073585642746</v>
      </c>
      <c r="Q27" s="20">
        <f>-11.4%-$Q$4</f>
        <v>-0.1165</v>
      </c>
      <c r="R27" s="74">
        <f>R26*(1+Q27)</f>
        <v>45695.13488067851</v>
      </c>
      <c r="S27" s="24">
        <f>R27/Z27</f>
        <v>0.1568844482852509</v>
      </c>
      <c r="T27" s="20">
        <f>-15.7%-$T$4</f>
        <v>-0.1605</v>
      </c>
      <c r="U27" s="74">
        <f>U26*(1+T27)</f>
        <v>57892.572318173356</v>
      </c>
      <c r="V27" s="24">
        <f>U27/Z27</f>
        <v>0.19876173451872198</v>
      </c>
      <c r="W27" s="67">
        <f>0.0383-$W$4</f>
        <v>0.0348</v>
      </c>
      <c r="X27" s="74">
        <f>X26*(1+W27)</f>
        <v>35680.30603623929</v>
      </c>
      <c r="Y27" s="24">
        <f t="shared" si="1"/>
        <v>0.12250068069087162</v>
      </c>
      <c r="Z27" s="72">
        <f t="shared" si="0"/>
        <v>291266.1859102476</v>
      </c>
      <c r="AA27" s="15" t="s">
        <v>23</v>
      </c>
      <c r="AB27" s="27">
        <f>SUM(D27,G27,J27,M27,P27,S27,V27,Y27)</f>
        <v>1.0000000000000002</v>
      </c>
    </row>
    <row r="28" spans="1:28" ht="12.75">
      <c r="A28">
        <f>A27+1</f>
        <v>2003</v>
      </c>
      <c r="B28" s="20">
        <f>29.8%-$B$4</f>
        <v>0.29619999999999996</v>
      </c>
      <c r="C28" s="74">
        <f>C27*(1+B28)</f>
        <v>32143.550524214825</v>
      </c>
      <c r="D28" s="24">
        <f>C28/Z28</f>
        <v>0.07991893399766167</v>
      </c>
      <c r="E28" s="19">
        <f>42.7%-$E$4</f>
        <v>0.42450000000000004</v>
      </c>
      <c r="F28" s="74">
        <f>F27*(1+E28)</f>
        <v>35536.37627447687</v>
      </c>
      <c r="G28" s="24">
        <f>F28/Z28</f>
        <v>0.08835456144947326</v>
      </c>
      <c r="H28" s="19">
        <f>48.5%-$F$4</f>
        <v>0.485</v>
      </c>
      <c r="I28" s="74">
        <f>I27*(1+H28)</f>
        <v>17844.376865712846</v>
      </c>
      <c r="J28" s="24">
        <f>I28/Z28</f>
        <v>0.044366709766115404</v>
      </c>
      <c r="K28" s="20">
        <f>30%-$K$4</f>
        <v>0.29819999999999997</v>
      </c>
      <c r="L28" s="74">
        <f>L27*(1+K28)</f>
        <v>56615.53458165032</v>
      </c>
      <c r="M28" s="24">
        <f>L28/Z28</f>
        <v>0.14076395101607303</v>
      </c>
      <c r="N28" s="20">
        <f>38.1%-$N$4</f>
        <v>0.3785</v>
      </c>
      <c r="O28" s="74">
        <f>O27*(1+N28)</f>
        <v>64274.08625338237</v>
      </c>
      <c r="P28" s="24">
        <f>O28/Z28</f>
        <v>0.15980550913858807</v>
      </c>
      <c r="Q28" s="20">
        <f>46%-$Q$4</f>
        <v>0.4575</v>
      </c>
      <c r="R28" s="74">
        <f>R27*(1+Q28)</f>
        <v>66600.65908858893</v>
      </c>
      <c r="S28" s="24">
        <f>R28/Z28</f>
        <v>0.1655900978920163</v>
      </c>
      <c r="T28" s="20">
        <f>39.2%-$T$4</f>
        <v>0.3885</v>
      </c>
      <c r="U28" s="74">
        <f>U27*(1+T28)</f>
        <v>80383.8366637837</v>
      </c>
      <c r="V28" s="24">
        <f>U28/Z28</f>
        <v>0.1998593942499347</v>
      </c>
      <c r="W28" s="67">
        <f>0.3713-$W$4</f>
        <v>0.3678</v>
      </c>
      <c r="X28" s="74">
        <f>X27*(1+W28)</f>
        <v>48803.5225963681</v>
      </c>
      <c r="Y28" s="24">
        <f t="shared" si="1"/>
        <v>0.12134084249013764</v>
      </c>
      <c r="Z28" s="72">
        <f t="shared" si="0"/>
        <v>402201.9428481779</v>
      </c>
      <c r="AA28" s="15" t="s">
        <v>23</v>
      </c>
      <c r="AB28" s="27">
        <f>SUM(D28,G28,J28,M28,P28,S28,V28,Y28)</f>
        <v>1</v>
      </c>
    </row>
    <row r="29" spans="1:28" ht="12.75">
      <c r="A29">
        <f>A28+1</f>
        <v>2004</v>
      </c>
      <c r="B29" s="20">
        <f>6.3%-$B$4</f>
        <v>0.0612</v>
      </c>
      <c r="C29" s="74">
        <f>C28*(1+B29)</f>
        <v>34110.73581629677</v>
      </c>
      <c r="D29" s="24">
        <f>C29/Z29</f>
        <v>0.07066111794458772</v>
      </c>
      <c r="E29" s="19">
        <f>15.5%-$E$4</f>
        <v>0.1525</v>
      </c>
      <c r="F29" s="74">
        <f>F28*(1+E29)</f>
        <v>40955.67365633459</v>
      </c>
      <c r="G29" s="24">
        <f>F29/Z29</f>
        <v>0.08484055290732473</v>
      </c>
      <c r="H29" s="19">
        <f>14.3%-$F$4</f>
        <v>0.14300000000000002</v>
      </c>
      <c r="I29" s="74">
        <f>I28*(1+H29)</f>
        <v>20396.122757509784</v>
      </c>
      <c r="J29" s="24">
        <f>I29/Z29</f>
        <v>0.04225100401065326</v>
      </c>
      <c r="K29" s="20">
        <f>16.5%-$K$4</f>
        <v>0.1632</v>
      </c>
      <c r="L29" s="74">
        <f>L28*(1+K29)</f>
        <v>65855.18982537565</v>
      </c>
      <c r="M29" s="24">
        <f>L29/Z29</f>
        <v>0.13642043257509767</v>
      </c>
      <c r="N29" s="20">
        <f>23.7%-$N$4</f>
        <v>0.2345</v>
      </c>
      <c r="O29" s="74">
        <f>O28*(1+N29)</f>
        <v>79346.35947980052</v>
      </c>
      <c r="P29" s="24">
        <f>O29/Z29</f>
        <v>0.16436767872351726</v>
      </c>
      <c r="Q29" s="20">
        <f>22.3%-$Q$4</f>
        <v>0.2205</v>
      </c>
      <c r="R29" s="74">
        <f>R28*(1+Q29)</f>
        <v>81286.10441762279</v>
      </c>
      <c r="S29" s="24">
        <f>R29/Z29</f>
        <v>0.1683859018006164</v>
      </c>
      <c r="T29" s="20">
        <f>20.7%-$T$4</f>
        <v>0.2035</v>
      </c>
      <c r="U29" s="74">
        <f>U28*(1+T29)</f>
        <v>96741.94742486368</v>
      </c>
      <c r="V29" s="24">
        <f>U29/Z29</f>
        <v>0.2004030107703357</v>
      </c>
      <c r="W29" s="67">
        <f>0.3158-$W$4</f>
        <v>0.3123</v>
      </c>
      <c r="X29" s="74">
        <f>X28*(1+W29)</f>
        <v>64044.86270321386</v>
      </c>
      <c r="Y29" s="25">
        <f t="shared" si="1"/>
        <v>0.13267030126786725</v>
      </c>
      <c r="Z29" s="72">
        <f t="shared" si="0"/>
        <v>482736.99608101766</v>
      </c>
      <c r="AA29" s="15" t="s">
        <v>24</v>
      </c>
      <c r="AB29" s="27">
        <f>SUM(D29,G29,J29,M29,P29,S29,V29,Y29)</f>
        <v>1</v>
      </c>
    </row>
    <row r="30" spans="2:28" ht="12.75">
      <c r="B30" s="20"/>
      <c r="C30" s="74">
        <f>$Z$29*C6</f>
        <v>48273.69960810177</v>
      </c>
      <c r="D30" s="62"/>
      <c r="E30" s="19"/>
      <c r="F30" s="74">
        <f>$Z$29*F6</f>
        <v>48273.69960810177</v>
      </c>
      <c r="G30" s="62"/>
      <c r="H30" s="19"/>
      <c r="I30" s="74">
        <f>$Z$29*I6</f>
        <v>24136.849804050886</v>
      </c>
      <c r="J30" s="62"/>
      <c r="K30" s="20"/>
      <c r="L30" s="74">
        <f>$Z$29*L6</f>
        <v>72410.54941215264</v>
      </c>
      <c r="M30" s="62"/>
      <c r="N30" s="20"/>
      <c r="O30" s="74">
        <f>$Z$29*O6</f>
        <v>72410.54941215264</v>
      </c>
      <c r="P30" s="62"/>
      <c r="Q30" s="20"/>
      <c r="R30" s="74">
        <f>$Z$29*R6</f>
        <v>72410.54941215264</v>
      </c>
      <c r="S30" s="62"/>
      <c r="T30" s="20"/>
      <c r="U30" s="74">
        <f>$Z$29*U6</f>
        <v>96547.39921620354</v>
      </c>
      <c r="V30" s="62"/>
      <c r="W30" s="67"/>
      <c r="X30" s="74">
        <f>$Z$29*X6</f>
        <v>48273.69960810177</v>
      </c>
      <c r="Y30" s="62"/>
      <c r="Z30" s="72"/>
      <c r="AA30" s="15"/>
      <c r="AB30" s="27"/>
    </row>
    <row r="31" spans="1:28" ht="12.75">
      <c r="A31">
        <v>2005</v>
      </c>
      <c r="B31" s="20">
        <v>0.0452</v>
      </c>
      <c r="C31" s="74">
        <f>C29*(1+B31)</f>
        <v>35652.54107519338</v>
      </c>
      <c r="D31" s="79">
        <f>C31/Z31</f>
        <v>0.06650034676378674</v>
      </c>
      <c r="E31" s="19">
        <v>0.1495</v>
      </c>
      <c r="F31" s="74">
        <f>F29*(1+E31)</f>
        <v>47078.54686795661</v>
      </c>
      <c r="G31" s="24">
        <f>F31/Z31</f>
        <v>0.08781252604832235</v>
      </c>
      <c r="H31" s="19">
        <v>0.1055</v>
      </c>
      <c r="I31" s="74">
        <f>I29*(1+H31)</f>
        <v>22547.913708427066</v>
      </c>
      <c r="J31" s="24">
        <f>I31/Z31</f>
        <v>0.04205714474174286</v>
      </c>
      <c r="K31" s="20">
        <v>0.0612</v>
      </c>
      <c r="L31" s="74">
        <f>L29*(1+K31)</f>
        <v>69885.52744268863</v>
      </c>
      <c r="M31" s="24">
        <f>L31/Z31</f>
        <v>0.13035289122610516</v>
      </c>
      <c r="N31" s="20">
        <v>0.1285</v>
      </c>
      <c r="O31" s="74">
        <f>O29*(1+N31)</f>
        <v>89542.3666729549</v>
      </c>
      <c r="P31" s="24">
        <f>O31/Z31</f>
        <v>0.16701750434122023</v>
      </c>
      <c r="Q31" s="20">
        <v>0.0745</v>
      </c>
      <c r="R31" s="74">
        <f>R29*(1+Q31)</f>
        <v>87341.91919673569</v>
      </c>
      <c r="S31" s="24">
        <f>R31/Z31</f>
        <v>0.16291315396979908</v>
      </c>
      <c r="T31" s="20">
        <v>0.1378</v>
      </c>
      <c r="U31" s="74">
        <f>U29*(1+T31)</f>
        <v>110072.98778000989</v>
      </c>
      <c r="V31" s="24">
        <f>U31/Z31</f>
        <v>0.2053119254882456</v>
      </c>
      <c r="W31" s="67">
        <v>0.1555</v>
      </c>
      <c r="X31" s="74">
        <f>X29*(1+W31)</f>
        <v>74003.83885356362</v>
      </c>
      <c r="Y31" s="25">
        <f t="shared" si="1"/>
        <v>0.13803450742077805</v>
      </c>
      <c r="Z31" s="72">
        <f t="shared" si="0"/>
        <v>536125.6415975298</v>
      </c>
      <c r="AA31" s="15" t="s">
        <v>23</v>
      </c>
      <c r="AB31" s="27">
        <f>SUM(D31,G31,J31,M31,P31,S31,V31,Y31)</f>
        <v>1</v>
      </c>
    </row>
    <row r="32" spans="3:25" ht="12.75">
      <c r="C32" s="75">
        <f>C31+5000</f>
        <v>40652.54107519338</v>
      </c>
      <c r="D32" s="31">
        <f>C32/Z31</f>
        <v>0.07582651886236641</v>
      </c>
      <c r="X32" s="75">
        <f>X31-5000</f>
        <v>69003.83885356362</v>
      </c>
      <c r="Y32" s="24">
        <f>X32/Z31</f>
        <v>0.1287083353221984</v>
      </c>
    </row>
    <row r="33" spans="1:28" ht="12.75">
      <c r="A33">
        <v>2006</v>
      </c>
      <c r="B33" s="20">
        <v>0.0997</v>
      </c>
      <c r="C33" s="74">
        <f>C32*(1+B33)</f>
        <v>44705.59942039016</v>
      </c>
      <c r="D33" s="31">
        <f>C33/Z33</f>
        <v>0.0691706671498674</v>
      </c>
      <c r="E33" s="19">
        <v>0.0524</v>
      </c>
      <c r="F33" s="74">
        <f>F31*(1+E33)</f>
        <v>49545.46272383754</v>
      </c>
      <c r="G33" s="24">
        <f>F33/Z33</f>
        <v>0.07665913789970652</v>
      </c>
      <c r="H33" s="19">
        <v>0.1005</v>
      </c>
      <c r="I33" s="74">
        <f>I31*(1+H33)</f>
        <v>24813.979036123987</v>
      </c>
      <c r="J33" s="24">
        <f>I33/Z33</f>
        <v>0.03839338934774852</v>
      </c>
      <c r="K33" s="20">
        <v>0.1861</v>
      </c>
      <c r="L33" s="74">
        <f>L31*(1+K33)</f>
        <v>82891.22409977298</v>
      </c>
      <c r="M33" s="24">
        <f>L33/Z33</f>
        <v>0.1282533138172253</v>
      </c>
      <c r="N33" s="20">
        <v>0.1269</v>
      </c>
      <c r="O33" s="74">
        <f>O31*(1+N33)</f>
        <v>100905.29300375287</v>
      </c>
      <c r="P33" s="24">
        <f>O33/Z33</f>
        <v>0.1561255530965772</v>
      </c>
      <c r="Q33" s="20">
        <v>0.1804</v>
      </c>
      <c r="R33" s="74">
        <f>R31*(1+Q33)</f>
        <v>103098.40141982681</v>
      </c>
      <c r="S33" s="24">
        <f>R33/Z33</f>
        <v>0.1595188365831785</v>
      </c>
      <c r="T33" s="20">
        <v>0.2546</v>
      </c>
      <c r="U33" s="74">
        <f>U31*(1+T33)</f>
        <v>138097.5704688004</v>
      </c>
      <c r="V33" s="24">
        <f>U33/Z33</f>
        <v>0.2136712448764519</v>
      </c>
      <c r="W33" s="67">
        <v>0.3817</v>
      </c>
      <c r="X33" s="74">
        <f>X31*(1+W33)</f>
        <v>102251.10414396884</v>
      </c>
      <c r="Y33" s="24">
        <f>X33/Z33</f>
        <v>0.15820785722924482</v>
      </c>
      <c r="Z33" s="72">
        <f>SUM(C33,F33,I33,L33,O33,R33,U33,X33)</f>
        <v>646308.6343164735</v>
      </c>
      <c r="AA33" s="15" t="s">
        <v>23</v>
      </c>
      <c r="AB33" s="27">
        <f>SUM(D33,G33,J33,M33,P33,S33,V33,Y33)</f>
        <v>1.0000000000000002</v>
      </c>
    </row>
    <row r="35" spans="1:2" ht="15.75">
      <c r="A35" t="s">
        <v>16</v>
      </c>
      <c r="B35" s="58">
        <v>0.1231</v>
      </c>
    </row>
    <row r="36" spans="1:2" ht="12.75">
      <c r="A36" t="s">
        <v>2</v>
      </c>
      <c r="B36" s="2">
        <v>80000</v>
      </c>
    </row>
    <row r="37" spans="1:2" ht="12.75">
      <c r="A37">
        <v>1989</v>
      </c>
      <c r="B37" s="2">
        <f>B36*$B$35+B36</f>
        <v>89848</v>
      </c>
    </row>
    <row r="38" spans="1:2" ht="12.75">
      <c r="A38">
        <v>1990</v>
      </c>
      <c r="B38" s="2">
        <f aca="true" t="shared" si="2" ref="B38:B54">B37*$B$35+B37</f>
        <v>100908.2888</v>
      </c>
    </row>
    <row r="39" spans="1:2" ht="12.75">
      <c r="A39">
        <v>1991</v>
      </c>
      <c r="B39" s="2">
        <f t="shared" si="2"/>
        <v>113330.09915128</v>
      </c>
    </row>
    <row r="40" spans="1:2" ht="12.75">
      <c r="A40">
        <f>A39+1</f>
        <v>1992</v>
      </c>
      <c r="B40" s="2">
        <f t="shared" si="2"/>
        <v>127281.03435680256</v>
      </c>
    </row>
    <row r="41" spans="1:2" ht="12.75">
      <c r="A41">
        <f aca="true" t="shared" si="3" ref="A41:A49">A40+1</f>
        <v>1993</v>
      </c>
      <c r="B41" s="2">
        <f t="shared" si="2"/>
        <v>142949.32968612495</v>
      </c>
    </row>
    <row r="42" spans="1:2" ht="12.75">
      <c r="A42">
        <f t="shared" si="3"/>
        <v>1994</v>
      </c>
      <c r="B42" s="2">
        <f t="shared" si="2"/>
        <v>160546.39217048694</v>
      </c>
    </row>
    <row r="43" spans="1:2" ht="12.75">
      <c r="A43">
        <f t="shared" si="3"/>
        <v>1995</v>
      </c>
      <c r="B43" s="2">
        <f t="shared" si="2"/>
        <v>180309.6530466739</v>
      </c>
    </row>
    <row r="44" spans="1:2" ht="12.75">
      <c r="A44">
        <f t="shared" si="3"/>
        <v>1996</v>
      </c>
      <c r="B44" s="2">
        <f t="shared" si="2"/>
        <v>202505.77133671945</v>
      </c>
    </row>
    <row r="45" spans="1:2" ht="12.75">
      <c r="A45">
        <f t="shared" si="3"/>
        <v>1997</v>
      </c>
      <c r="B45" s="2">
        <f t="shared" si="2"/>
        <v>227434.23178826962</v>
      </c>
    </row>
    <row r="46" spans="1:2" ht="12.75">
      <c r="A46">
        <f t="shared" si="3"/>
        <v>1998</v>
      </c>
      <c r="B46" s="2">
        <f t="shared" si="2"/>
        <v>255431.38572140562</v>
      </c>
    </row>
    <row r="47" spans="1:2" ht="12.75">
      <c r="A47">
        <f t="shared" si="3"/>
        <v>1999</v>
      </c>
      <c r="B47" s="2">
        <f t="shared" si="2"/>
        <v>286874.98930371064</v>
      </c>
    </row>
    <row r="48" spans="1:2" ht="12.75">
      <c r="A48">
        <f t="shared" si="3"/>
        <v>2000</v>
      </c>
      <c r="B48" s="2">
        <f t="shared" si="2"/>
        <v>322189.3004869974</v>
      </c>
    </row>
    <row r="49" spans="1:2" ht="12.75">
      <c r="A49">
        <f t="shared" si="3"/>
        <v>2001</v>
      </c>
      <c r="B49" s="2">
        <f t="shared" si="2"/>
        <v>361850.8033769468</v>
      </c>
    </row>
    <row r="50" spans="1:2" ht="12.75">
      <c r="A50">
        <f>A49+1</f>
        <v>2002</v>
      </c>
      <c r="B50" s="2">
        <f t="shared" si="2"/>
        <v>406394.6372726489</v>
      </c>
    </row>
    <row r="51" spans="1:2" ht="12.75">
      <c r="A51">
        <f>A50+1</f>
        <v>2003</v>
      </c>
      <c r="B51" s="2">
        <f t="shared" si="2"/>
        <v>456421.817120912</v>
      </c>
    </row>
    <row r="52" spans="1:2" ht="12.75">
      <c r="A52">
        <f>A51+1</f>
        <v>2004</v>
      </c>
      <c r="B52" s="2">
        <f t="shared" si="2"/>
        <v>512607.34280849627</v>
      </c>
    </row>
    <row r="53" spans="1:2" ht="12.75">
      <c r="A53">
        <f>A52+1</f>
        <v>2005</v>
      </c>
      <c r="B53" s="2">
        <f t="shared" si="2"/>
        <v>575709.3067082221</v>
      </c>
    </row>
    <row r="54" spans="1:2" ht="12.75">
      <c r="A54">
        <f>A53+1</f>
        <v>2006</v>
      </c>
      <c r="B54" s="2">
        <f t="shared" si="2"/>
        <v>646579.1223640043</v>
      </c>
    </row>
  </sheetData>
  <printOptions/>
  <pageMargins left="0.32" right="0.28" top="1" bottom="1" header="0.5" footer="0.5"/>
  <pageSetup horizontalDpi="300" verticalDpi="300" orientation="landscape" scale="80" r:id="rId1"/>
</worksheet>
</file>

<file path=xl/worksheets/sheet7.xml><?xml version="1.0" encoding="utf-8"?>
<worksheet xmlns="http://schemas.openxmlformats.org/spreadsheetml/2006/main" xmlns:r="http://schemas.openxmlformats.org/officeDocument/2006/relationships">
  <dimension ref="A1:DU31"/>
  <sheetViews>
    <sheetView tabSelected="1" workbookViewId="0" topLeftCell="K1">
      <selection activeCell="S1" sqref="S1"/>
    </sheetView>
  </sheetViews>
  <sheetFormatPr defaultColWidth="9.140625" defaultRowHeight="12.75"/>
  <cols>
    <col min="2" max="17" width="17.421875" style="0" customWidth="1"/>
    <col min="18" max="18" width="23.421875" style="0" customWidth="1"/>
    <col min="19" max="19" width="23.140625" style="0" customWidth="1"/>
    <col min="20" max="20" width="9.28125" style="0" bestFit="1" customWidth="1"/>
  </cols>
  <sheetData>
    <row r="1" spans="1:125" ht="16.5" thickBot="1">
      <c r="A1" s="16" t="s">
        <v>37</v>
      </c>
      <c r="B1" s="47">
        <v>1989</v>
      </c>
      <c r="C1" s="47">
        <v>1990</v>
      </c>
      <c r="D1" s="47">
        <v>1991</v>
      </c>
      <c r="E1" s="47">
        <f>D1+1</f>
        <v>1992</v>
      </c>
      <c r="F1" s="47">
        <f aca="true" t="shared" si="0" ref="F1:Q1">E1+1</f>
        <v>1993</v>
      </c>
      <c r="G1" s="47">
        <f t="shared" si="0"/>
        <v>1994</v>
      </c>
      <c r="H1" s="47">
        <f t="shared" si="0"/>
        <v>1995</v>
      </c>
      <c r="I1" s="47">
        <f t="shared" si="0"/>
        <v>1996</v>
      </c>
      <c r="J1" s="47">
        <f t="shared" si="0"/>
        <v>1997</v>
      </c>
      <c r="K1" s="47">
        <f t="shared" si="0"/>
        <v>1998</v>
      </c>
      <c r="L1" s="47">
        <f t="shared" si="0"/>
        <v>1999</v>
      </c>
      <c r="M1" s="47">
        <f t="shared" si="0"/>
        <v>2000</v>
      </c>
      <c r="N1" s="47">
        <f t="shared" si="0"/>
        <v>2001</v>
      </c>
      <c r="O1" s="47">
        <f t="shared" si="0"/>
        <v>2002</v>
      </c>
      <c r="P1" s="47">
        <f t="shared" si="0"/>
        <v>2003</v>
      </c>
      <c r="Q1" s="47">
        <f t="shared" si="0"/>
        <v>2004</v>
      </c>
      <c r="R1" s="47">
        <v>2005</v>
      </c>
      <c r="S1" s="47">
        <v>2006</v>
      </c>
      <c r="T1" s="16" t="s">
        <v>3</v>
      </c>
      <c r="U1" s="16" t="s">
        <v>3</v>
      </c>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row>
    <row r="2" spans="1:125" ht="16.5"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row>
    <row r="3" spans="1:125" ht="15.75">
      <c r="A3" s="16"/>
      <c r="B3" s="35" t="s">
        <v>4</v>
      </c>
      <c r="C3" s="35" t="s">
        <v>4</v>
      </c>
      <c r="D3" s="32" t="s">
        <v>38</v>
      </c>
      <c r="E3" s="43" t="s">
        <v>9</v>
      </c>
      <c r="F3" s="39" t="s">
        <v>39</v>
      </c>
      <c r="G3" s="39" t="s">
        <v>39</v>
      </c>
      <c r="H3" s="41" t="s">
        <v>7</v>
      </c>
      <c r="I3" s="52" t="s">
        <v>42</v>
      </c>
      <c r="J3" s="41" t="s">
        <v>7</v>
      </c>
      <c r="K3" s="35" t="s">
        <v>4</v>
      </c>
      <c r="L3" s="34" t="s">
        <v>6</v>
      </c>
      <c r="M3" s="52" t="s">
        <v>42</v>
      </c>
      <c r="N3" s="43" t="s">
        <v>9</v>
      </c>
      <c r="O3" s="52" t="s">
        <v>42</v>
      </c>
      <c r="P3" s="32" t="s">
        <v>38</v>
      </c>
      <c r="Q3" s="52" t="s">
        <v>42</v>
      </c>
      <c r="R3" s="52" t="s">
        <v>42</v>
      </c>
      <c r="S3" s="52" t="s">
        <v>42</v>
      </c>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row>
    <row r="4" spans="1:125" ht="16.5" thickBot="1">
      <c r="A4" s="16"/>
      <c r="B4" s="48">
        <v>0.3594</v>
      </c>
      <c r="C4" s="36">
        <v>-0.0026</v>
      </c>
      <c r="D4" s="33">
        <v>0.512</v>
      </c>
      <c r="E4" s="44">
        <v>0.2914</v>
      </c>
      <c r="F4" s="40">
        <v>0.3294</v>
      </c>
      <c r="G4" s="40">
        <v>0.0806</v>
      </c>
      <c r="H4" s="42">
        <v>0.3835</v>
      </c>
      <c r="I4" s="53">
        <v>0.3527</v>
      </c>
      <c r="J4" s="42">
        <v>0.3518</v>
      </c>
      <c r="K4" s="36">
        <v>0.3871</v>
      </c>
      <c r="L4" s="51">
        <v>0.5131</v>
      </c>
      <c r="M4" s="53">
        <v>0.2637</v>
      </c>
      <c r="N4" s="44">
        <v>0.1402</v>
      </c>
      <c r="O4" s="53">
        <v>0.0382</v>
      </c>
      <c r="P4" s="33">
        <v>0.4854</v>
      </c>
      <c r="Q4" s="53">
        <v>0.3158</v>
      </c>
      <c r="R4" s="53">
        <v>0.159</v>
      </c>
      <c r="S4" s="53">
        <v>0.3817</v>
      </c>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row>
    <row r="5" spans="1:125" ht="16.5"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row>
    <row r="6" spans="1:125" ht="15.75">
      <c r="A6" s="16"/>
      <c r="B6" s="34" t="s">
        <v>6</v>
      </c>
      <c r="C6" s="34" t="s">
        <v>6</v>
      </c>
      <c r="D6" s="34" t="s">
        <v>6</v>
      </c>
      <c r="E6" s="37" t="s">
        <v>8</v>
      </c>
      <c r="F6" s="43" t="s">
        <v>9</v>
      </c>
      <c r="G6" s="52" t="s">
        <v>42</v>
      </c>
      <c r="H6" s="35" t="s">
        <v>4</v>
      </c>
      <c r="I6" s="35" t="s">
        <v>4</v>
      </c>
      <c r="J6" s="37" t="s">
        <v>8</v>
      </c>
      <c r="K6" s="39" t="s">
        <v>39</v>
      </c>
      <c r="L6" s="32" t="s">
        <v>38</v>
      </c>
      <c r="M6" s="43" t="s">
        <v>9</v>
      </c>
      <c r="N6" s="52" t="s">
        <v>42</v>
      </c>
      <c r="O6" s="37" t="s">
        <v>8</v>
      </c>
      <c r="P6" s="43" t="s">
        <v>9</v>
      </c>
      <c r="Q6" s="37" t="s">
        <v>8</v>
      </c>
      <c r="R6" s="34" t="s">
        <v>18</v>
      </c>
      <c r="S6" s="39" t="s">
        <v>41</v>
      </c>
      <c r="T6" s="105" t="s">
        <v>3</v>
      </c>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row>
    <row r="7" spans="1:125" ht="16.5" thickBot="1">
      <c r="A7" s="16"/>
      <c r="B7" s="51">
        <v>0.3148</v>
      </c>
      <c r="C7" s="46">
        <v>-0.0513</v>
      </c>
      <c r="D7" s="46">
        <v>0.47</v>
      </c>
      <c r="E7" s="38">
        <v>0.2168</v>
      </c>
      <c r="F7" s="44">
        <v>0.2384</v>
      </c>
      <c r="G7" s="53">
        <v>0.0317</v>
      </c>
      <c r="H7" s="36">
        <v>0.3718</v>
      </c>
      <c r="I7" s="36">
        <v>0.2312</v>
      </c>
      <c r="J7" s="38">
        <v>0.3436</v>
      </c>
      <c r="K7" s="40">
        <v>0.2034</v>
      </c>
      <c r="L7" s="33">
        <v>0.431</v>
      </c>
      <c r="M7" s="44">
        <v>0.228</v>
      </c>
      <c r="N7" s="53">
        <v>0.1393</v>
      </c>
      <c r="O7" s="54">
        <v>-0.0965</v>
      </c>
      <c r="P7" s="44">
        <v>0.4603</v>
      </c>
      <c r="Q7" s="54">
        <v>0.2371</v>
      </c>
      <c r="R7" s="51">
        <v>0.152</v>
      </c>
      <c r="S7" s="40">
        <v>0.2546</v>
      </c>
      <c r="T7" s="106" t="s">
        <v>3</v>
      </c>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row>
    <row r="8" spans="1:125" ht="16.5" thickBo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row>
    <row r="9" spans="1:125" ht="15.75">
      <c r="A9" s="16"/>
      <c r="B9" s="41" t="s">
        <v>7</v>
      </c>
      <c r="C9" s="41" t="s">
        <v>7</v>
      </c>
      <c r="D9" s="43" t="s">
        <v>9</v>
      </c>
      <c r="E9" s="52" t="s">
        <v>42</v>
      </c>
      <c r="F9" s="52" t="s">
        <v>42</v>
      </c>
      <c r="G9" s="35" t="s">
        <v>4</v>
      </c>
      <c r="H9" s="37" t="s">
        <v>8</v>
      </c>
      <c r="I9" s="41" t="s">
        <v>7</v>
      </c>
      <c r="J9" s="43" t="s">
        <v>9</v>
      </c>
      <c r="K9" s="34" t="s">
        <v>6</v>
      </c>
      <c r="L9" s="35" t="s">
        <v>4</v>
      </c>
      <c r="M9" s="37" t="s">
        <v>8</v>
      </c>
      <c r="N9" s="37" t="s">
        <v>8</v>
      </c>
      <c r="O9" s="43" t="s">
        <v>9</v>
      </c>
      <c r="P9" s="34" t="s">
        <v>6</v>
      </c>
      <c r="Q9" s="43" t="s">
        <v>9</v>
      </c>
      <c r="R9" s="39" t="s">
        <v>41</v>
      </c>
      <c r="S9" s="41" t="s">
        <v>20</v>
      </c>
      <c r="T9" s="104"/>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row>
    <row r="10" spans="1:125" ht="16.5" thickBot="1">
      <c r="A10" s="16"/>
      <c r="B10" s="42">
        <v>0.2521</v>
      </c>
      <c r="C10" s="49">
        <v>-0.0809</v>
      </c>
      <c r="D10" s="44">
        <v>0.417</v>
      </c>
      <c r="E10" s="53">
        <v>0.1459</v>
      </c>
      <c r="F10" s="53">
        <v>0.1965</v>
      </c>
      <c r="G10" s="36">
        <v>0.0256</v>
      </c>
      <c r="H10" s="38">
        <v>0.3493</v>
      </c>
      <c r="I10" s="42">
        <v>0.2164</v>
      </c>
      <c r="J10" s="44">
        <v>0.3179</v>
      </c>
      <c r="K10" s="51">
        <v>0.1786</v>
      </c>
      <c r="L10" s="36">
        <v>0.3314</v>
      </c>
      <c r="M10" s="54">
        <v>0.1919</v>
      </c>
      <c r="N10" s="54">
        <v>0.0233</v>
      </c>
      <c r="O10" s="44">
        <v>-0.1143</v>
      </c>
      <c r="P10" s="51">
        <v>0.4271</v>
      </c>
      <c r="Q10" s="44">
        <v>0.2225</v>
      </c>
      <c r="R10" s="40">
        <v>0.1413</v>
      </c>
      <c r="S10" s="42">
        <v>0.1861</v>
      </c>
      <c r="T10" s="104"/>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row>
    <row r="11" spans="1:125" ht="16.5" thickBot="1">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row>
    <row r="12" spans="1:125" ht="15.75">
      <c r="A12" s="16"/>
      <c r="B12" s="37" t="s">
        <v>8</v>
      </c>
      <c r="C12" s="52" t="s">
        <v>42</v>
      </c>
      <c r="D12" s="35" t="s">
        <v>4</v>
      </c>
      <c r="E12" s="41" t="s">
        <v>7</v>
      </c>
      <c r="F12" s="41" t="s">
        <v>7</v>
      </c>
      <c r="G12" s="43" t="s">
        <v>9</v>
      </c>
      <c r="H12" s="34" t="s">
        <v>6</v>
      </c>
      <c r="I12" s="43" t="s">
        <v>9</v>
      </c>
      <c r="J12" s="35" t="s">
        <v>4</v>
      </c>
      <c r="K12" s="41" t="s">
        <v>7</v>
      </c>
      <c r="L12" s="39" t="s">
        <v>39</v>
      </c>
      <c r="M12" s="41" t="s">
        <v>7</v>
      </c>
      <c r="N12" s="41" t="s">
        <v>7</v>
      </c>
      <c r="O12" s="41" t="s">
        <v>7</v>
      </c>
      <c r="P12" s="39" t="s">
        <v>39</v>
      </c>
      <c r="Q12" s="39" t="s">
        <v>39</v>
      </c>
      <c r="R12" s="37" t="s">
        <v>21</v>
      </c>
      <c r="S12" s="43" t="s">
        <v>22</v>
      </c>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row>
    <row r="13" spans="1:125" ht="16.5" thickBot="1">
      <c r="A13" s="16"/>
      <c r="B13" s="38">
        <v>0.2269</v>
      </c>
      <c r="C13" s="53">
        <v>-0.1535</v>
      </c>
      <c r="D13" s="48">
        <v>0.412</v>
      </c>
      <c r="E13" s="42">
        <v>0.1381</v>
      </c>
      <c r="F13" s="42">
        <v>0.1813</v>
      </c>
      <c r="G13" s="44">
        <v>-0.0155</v>
      </c>
      <c r="H13" s="51">
        <v>0.3398</v>
      </c>
      <c r="I13" s="44">
        <v>0.2137</v>
      </c>
      <c r="J13" s="36">
        <v>0.3049</v>
      </c>
      <c r="K13" s="42">
        <v>0.1563</v>
      </c>
      <c r="L13" s="40">
        <v>0.2729</v>
      </c>
      <c r="M13" s="42">
        <v>0.0702</v>
      </c>
      <c r="N13" s="42">
        <v>0.0559</v>
      </c>
      <c r="O13" s="42">
        <v>-0.1552</v>
      </c>
      <c r="P13" s="40">
        <v>0.3917</v>
      </c>
      <c r="Q13" s="40">
        <v>0.207</v>
      </c>
      <c r="R13" s="38">
        <v>0.131</v>
      </c>
      <c r="S13" s="44">
        <v>0.1804</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row>
    <row r="14" spans="1:125" ht="16.5" thickBot="1">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row>
    <row r="15" spans="1:125" ht="15.75">
      <c r="A15" s="16"/>
      <c r="B15" s="32" t="s">
        <v>38</v>
      </c>
      <c r="C15" s="37" t="s">
        <v>8</v>
      </c>
      <c r="D15" s="37" t="s">
        <v>8</v>
      </c>
      <c r="E15" s="34" t="s">
        <v>6</v>
      </c>
      <c r="F15" s="37" t="s">
        <v>8</v>
      </c>
      <c r="G15" s="41" t="s">
        <v>7</v>
      </c>
      <c r="H15" s="32" t="s">
        <v>38</v>
      </c>
      <c r="I15" s="37" t="s">
        <v>8</v>
      </c>
      <c r="J15" s="34" t="s">
        <v>6</v>
      </c>
      <c r="K15" s="37" t="s">
        <v>8</v>
      </c>
      <c r="L15" s="41" t="s">
        <v>7</v>
      </c>
      <c r="M15" s="34" t="s">
        <v>6</v>
      </c>
      <c r="N15" s="32" t="s">
        <v>38</v>
      </c>
      <c r="O15" s="39" t="s">
        <v>39</v>
      </c>
      <c r="P15" s="37" t="s">
        <v>8</v>
      </c>
      <c r="Q15" s="41" t="s">
        <v>7</v>
      </c>
      <c r="R15" s="32" t="s">
        <v>40</v>
      </c>
      <c r="S15" s="37" t="s">
        <v>21</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row>
    <row r="16" spans="1:125" ht="16.5" thickBot="1">
      <c r="A16" s="16"/>
      <c r="B16" s="33">
        <v>0.2019</v>
      </c>
      <c r="C16" s="38">
        <v>-0.1608</v>
      </c>
      <c r="D16" s="45">
        <v>0.379</v>
      </c>
      <c r="E16" s="51">
        <v>0.0871</v>
      </c>
      <c r="F16" s="38">
        <v>0.1562</v>
      </c>
      <c r="G16" s="42">
        <v>-0.0201</v>
      </c>
      <c r="H16" s="33">
        <v>0.31</v>
      </c>
      <c r="I16" s="38">
        <v>0.2026</v>
      </c>
      <c r="J16" s="51">
        <v>0.2254</v>
      </c>
      <c r="K16" s="38">
        <v>0.0508</v>
      </c>
      <c r="L16" s="42">
        <v>0.0734</v>
      </c>
      <c r="M16" s="51">
        <v>-0.1175</v>
      </c>
      <c r="N16" s="33">
        <v>-0.0923</v>
      </c>
      <c r="O16" s="40">
        <v>-0.1565</v>
      </c>
      <c r="P16" s="38">
        <v>0.3807</v>
      </c>
      <c r="Q16" s="42">
        <v>0.1649</v>
      </c>
      <c r="R16" s="33">
        <v>0.108</v>
      </c>
      <c r="S16" s="38">
        <v>0.1269</v>
      </c>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row>
    <row r="17" spans="1:125" ht="16.5" thickBo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row>
    <row r="18" spans="1:125" ht="15.75">
      <c r="A18" s="16"/>
      <c r="B18" s="43" t="s">
        <v>9</v>
      </c>
      <c r="C18" s="32" t="s">
        <v>38</v>
      </c>
      <c r="D18" s="52" t="s">
        <v>42</v>
      </c>
      <c r="E18" s="32" t="s">
        <v>38</v>
      </c>
      <c r="F18" s="32" t="s">
        <v>38</v>
      </c>
      <c r="G18" s="37" t="s">
        <v>8</v>
      </c>
      <c r="H18" s="43" t="s">
        <v>9</v>
      </c>
      <c r="I18" s="34" t="s">
        <v>6</v>
      </c>
      <c r="J18" s="52" t="s">
        <v>42</v>
      </c>
      <c r="K18" s="32" t="s">
        <v>38</v>
      </c>
      <c r="L18" s="37" t="s">
        <v>8</v>
      </c>
      <c r="M18" s="39" t="s">
        <v>39</v>
      </c>
      <c r="N18" s="34" t="s">
        <v>6</v>
      </c>
      <c r="O18" s="34" t="s">
        <v>6</v>
      </c>
      <c r="P18" s="52" t="s">
        <v>42</v>
      </c>
      <c r="Q18" s="34" t="s">
        <v>6</v>
      </c>
      <c r="R18" s="43" t="s">
        <v>22</v>
      </c>
      <c r="S18" s="32" t="s">
        <v>40</v>
      </c>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row>
    <row r="19" spans="1:125" ht="16.5" thickBot="1">
      <c r="A19" s="16"/>
      <c r="B19" s="44">
        <v>0.1242</v>
      </c>
      <c r="C19" s="33">
        <v>-0.1742</v>
      </c>
      <c r="D19" s="53">
        <v>0.357</v>
      </c>
      <c r="E19" s="33">
        <v>0.0777</v>
      </c>
      <c r="F19" s="33">
        <v>0.1337</v>
      </c>
      <c r="G19" s="38">
        <v>-0.0212</v>
      </c>
      <c r="H19" s="44">
        <v>0.2575</v>
      </c>
      <c r="I19" s="51">
        <v>0.1748</v>
      </c>
      <c r="J19" s="53">
        <v>0.2026</v>
      </c>
      <c r="K19" s="33">
        <v>0.0124</v>
      </c>
      <c r="L19" s="54">
        <v>-0.001</v>
      </c>
      <c r="M19" s="40">
        <v>-0.1395</v>
      </c>
      <c r="N19" s="51">
        <v>-0.2016</v>
      </c>
      <c r="O19" s="51">
        <v>-0.2741</v>
      </c>
      <c r="P19" s="53">
        <v>0.3713</v>
      </c>
      <c r="Q19" s="51">
        <v>0.1548</v>
      </c>
      <c r="R19" s="44">
        <v>0.077</v>
      </c>
      <c r="S19" s="33">
        <v>0.1005</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row>
    <row r="20" spans="1:125" ht="16.5" thickBot="1">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row>
    <row r="21" spans="1:125" ht="15.75">
      <c r="A21" s="16"/>
      <c r="B21" s="39" t="s">
        <v>39</v>
      </c>
      <c r="C21" s="43" t="s">
        <v>9</v>
      </c>
      <c r="D21" s="41" t="s">
        <v>7</v>
      </c>
      <c r="E21" s="35" t="s">
        <v>4</v>
      </c>
      <c r="F21" s="34" t="s">
        <v>6</v>
      </c>
      <c r="G21" s="34" t="s">
        <v>6</v>
      </c>
      <c r="H21" s="52" t="s">
        <v>42</v>
      </c>
      <c r="I21" s="32" t="s">
        <v>38</v>
      </c>
      <c r="J21" s="32" t="s">
        <v>38</v>
      </c>
      <c r="K21" s="43" t="s">
        <v>9</v>
      </c>
      <c r="L21" s="43" t="s">
        <v>9</v>
      </c>
      <c r="M21" s="35" t="s">
        <v>4</v>
      </c>
      <c r="N21" s="35" t="s">
        <v>4</v>
      </c>
      <c r="O21" s="35" t="s">
        <v>4</v>
      </c>
      <c r="P21" s="41" t="s">
        <v>7</v>
      </c>
      <c r="Q21" s="32" t="s">
        <v>38</v>
      </c>
      <c r="R21" s="41" t="s">
        <v>20</v>
      </c>
      <c r="S21" s="35" t="s">
        <v>17</v>
      </c>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row>
    <row r="22" spans="1:125" ht="16.5" thickBot="1">
      <c r="A22" s="16"/>
      <c r="B22" s="40">
        <v>0.108</v>
      </c>
      <c r="C22" s="44">
        <v>-0.2177</v>
      </c>
      <c r="D22" s="42">
        <v>0.2461</v>
      </c>
      <c r="E22" s="36">
        <v>0.0501</v>
      </c>
      <c r="F22" s="51">
        <v>0.1119</v>
      </c>
      <c r="G22" s="51">
        <v>-0.0216</v>
      </c>
      <c r="H22" s="53">
        <v>0.1527</v>
      </c>
      <c r="I22" s="33">
        <v>0.1127</v>
      </c>
      <c r="J22" s="33">
        <v>0.1295</v>
      </c>
      <c r="K22" s="44">
        <v>-0.0645</v>
      </c>
      <c r="L22" s="44">
        <v>-0.0148</v>
      </c>
      <c r="M22" s="36">
        <v>-0.2243</v>
      </c>
      <c r="N22" s="36">
        <v>-0.2042</v>
      </c>
      <c r="O22" s="36">
        <v>-0.2789</v>
      </c>
      <c r="P22" s="42">
        <v>0.3003</v>
      </c>
      <c r="Q22" s="33">
        <v>0.1431</v>
      </c>
      <c r="R22" s="42">
        <v>0.063</v>
      </c>
      <c r="S22" s="36">
        <v>0.0997</v>
      </c>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row>
    <row r="23" spans="1:125" ht="16.5" thickBo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row>
    <row r="24" spans="1:125" ht="15.75">
      <c r="A24" s="16"/>
      <c r="B24" s="52" t="s">
        <v>42</v>
      </c>
      <c r="C24" s="39" t="s">
        <v>39</v>
      </c>
      <c r="D24" s="39" t="s">
        <v>39</v>
      </c>
      <c r="E24" s="39" t="s">
        <v>39</v>
      </c>
      <c r="F24" s="35" t="s">
        <v>4</v>
      </c>
      <c r="G24" s="32" t="s">
        <v>38</v>
      </c>
      <c r="H24" s="39" t="s">
        <v>39</v>
      </c>
      <c r="I24" s="39" t="s">
        <v>39</v>
      </c>
      <c r="J24" s="39" t="s">
        <v>39</v>
      </c>
      <c r="K24" s="52" t="s">
        <v>42</v>
      </c>
      <c r="L24" s="52" t="s">
        <v>42</v>
      </c>
      <c r="M24" s="32" t="s">
        <v>38</v>
      </c>
      <c r="N24" s="39" t="s">
        <v>39</v>
      </c>
      <c r="O24" s="32" t="s">
        <v>38</v>
      </c>
      <c r="P24" s="35" t="s">
        <v>4</v>
      </c>
      <c r="Q24" s="35" t="s">
        <v>4</v>
      </c>
      <c r="R24" s="35" t="s">
        <v>17</v>
      </c>
      <c r="S24" s="34" t="s">
        <v>18</v>
      </c>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row>
    <row r="25" spans="1:125" ht="16.5" thickBot="1">
      <c r="A25" s="16"/>
      <c r="B25" s="53">
        <v>0.0884</v>
      </c>
      <c r="C25" s="50">
        <v>-0.232</v>
      </c>
      <c r="D25" s="50">
        <v>0.1247</v>
      </c>
      <c r="E25" s="40">
        <v>-0.1184</v>
      </c>
      <c r="F25" s="36">
        <v>0.029</v>
      </c>
      <c r="G25" s="33">
        <v>-0.0242</v>
      </c>
      <c r="H25" s="40">
        <v>0.1155</v>
      </c>
      <c r="I25" s="40">
        <v>0.0634</v>
      </c>
      <c r="J25" s="40">
        <v>0.0205</v>
      </c>
      <c r="K25" s="53">
        <v>-0.175</v>
      </c>
      <c r="L25" s="53">
        <v>-0.0462</v>
      </c>
      <c r="M25" s="33">
        <v>-0.2244</v>
      </c>
      <c r="N25" s="40">
        <v>-0.2121</v>
      </c>
      <c r="O25" s="33">
        <v>-0.3026</v>
      </c>
      <c r="P25" s="36">
        <v>0.2975</v>
      </c>
      <c r="Q25" s="36">
        <v>0.063</v>
      </c>
      <c r="R25" s="36">
        <v>0.047</v>
      </c>
      <c r="S25" s="51">
        <v>0.0524</v>
      </c>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row>
    <row r="26" spans="1:125" ht="15.7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row>
    <row r="27" spans="1:125" ht="15.75">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row>
    <row r="28" spans="1:125" ht="15.7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row>
    <row r="29" spans="1:125" ht="15.75">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row>
    <row r="30" spans="1:125" ht="15.75">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row>
    <row r="31" spans="1:125" ht="15.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row>
  </sheetData>
  <printOptions/>
  <pageMargins left="0.75" right="0.75" top="1" bottom="1"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AV64"/>
  <sheetViews>
    <sheetView workbookViewId="0" topLeftCell="A1">
      <pane xSplit="1" ySplit="1" topLeftCell="M2" activePane="bottomRight" state="frozen"/>
      <selection pane="topLeft" activeCell="A1" sqref="A1"/>
      <selection pane="topRight" activeCell="B1" sqref="B1"/>
      <selection pane="bottomLeft" activeCell="A2" sqref="A2"/>
      <selection pane="bottomRight" activeCell="S41" sqref="S41"/>
    </sheetView>
  </sheetViews>
  <sheetFormatPr defaultColWidth="9.140625" defaultRowHeight="12.75"/>
  <cols>
    <col min="1" max="1" width="29.140625" style="0" bestFit="1" customWidth="1"/>
    <col min="2" max="17" width="17.421875" style="0" customWidth="1"/>
    <col min="18" max="19" width="19.7109375" style="0" customWidth="1"/>
    <col min="20" max="21" width="9.28125" style="0" bestFit="1" customWidth="1"/>
  </cols>
  <sheetData>
    <row r="1" spans="1:48" ht="16.5" thickBot="1">
      <c r="A1" s="47">
        <v>1988</v>
      </c>
      <c r="B1" s="47">
        <v>1989</v>
      </c>
      <c r="C1" s="47">
        <v>1990</v>
      </c>
      <c r="D1" s="47">
        <v>1991</v>
      </c>
      <c r="E1" s="47">
        <f>D1+1</f>
        <v>1992</v>
      </c>
      <c r="F1" s="47">
        <f aca="true" t="shared" si="0" ref="F1:Q1">E1+1</f>
        <v>1993</v>
      </c>
      <c r="G1" s="47">
        <f t="shared" si="0"/>
        <v>1994</v>
      </c>
      <c r="H1" s="47">
        <f t="shared" si="0"/>
        <v>1995</v>
      </c>
      <c r="I1" s="47">
        <f t="shared" si="0"/>
        <v>1996</v>
      </c>
      <c r="J1" s="47">
        <f t="shared" si="0"/>
        <v>1997</v>
      </c>
      <c r="K1" s="47">
        <f t="shared" si="0"/>
        <v>1998</v>
      </c>
      <c r="L1" s="47">
        <f t="shared" si="0"/>
        <v>1999</v>
      </c>
      <c r="M1" s="47">
        <f t="shared" si="0"/>
        <v>2000</v>
      </c>
      <c r="N1" s="47">
        <f t="shared" si="0"/>
        <v>2001</v>
      </c>
      <c r="O1" s="47">
        <f t="shared" si="0"/>
        <v>2002</v>
      </c>
      <c r="P1" s="47">
        <f t="shared" si="0"/>
        <v>2003</v>
      </c>
      <c r="Q1" s="47">
        <f t="shared" si="0"/>
        <v>2004</v>
      </c>
      <c r="R1" s="47">
        <v>2005</v>
      </c>
      <c r="S1" s="47">
        <v>2006</v>
      </c>
      <c r="T1" s="16" t="s">
        <v>3</v>
      </c>
      <c r="U1" s="16" t="s">
        <v>3</v>
      </c>
      <c r="V1" s="16" t="s">
        <v>3</v>
      </c>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row>
    <row r="2" spans="2:48" ht="16.5" thickBot="1">
      <c r="B2" s="16"/>
      <c r="C2" s="16"/>
      <c r="D2" s="16"/>
      <c r="E2" s="16"/>
      <c r="F2" s="16"/>
      <c r="G2" s="16"/>
      <c r="H2" s="16"/>
      <c r="I2" s="16"/>
      <c r="J2" s="16"/>
      <c r="K2" s="16"/>
      <c r="L2" s="16"/>
      <c r="M2" s="16"/>
      <c r="N2" s="16"/>
      <c r="O2" s="16"/>
      <c r="P2" s="16"/>
      <c r="Q2" s="16"/>
      <c r="R2" s="16"/>
      <c r="S2" s="16" t="s">
        <v>3</v>
      </c>
      <c r="T2" s="16" t="s">
        <v>55</v>
      </c>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row>
    <row r="3" spans="1:48" ht="16.5" thickBot="1">
      <c r="A3" s="120" t="s">
        <v>4</v>
      </c>
      <c r="B3" s="128">
        <v>0.3594</v>
      </c>
      <c r="C3" s="128">
        <v>-0.26</v>
      </c>
      <c r="D3" s="128">
        <v>0.412</v>
      </c>
      <c r="E3" s="128">
        <v>0.0501</v>
      </c>
      <c r="F3" s="128">
        <v>0.029</v>
      </c>
      <c r="G3" s="128">
        <v>0.0256</v>
      </c>
      <c r="H3" s="128">
        <v>0.3718</v>
      </c>
      <c r="I3" s="128">
        <v>0.2312</v>
      </c>
      <c r="J3" s="128">
        <v>0.3049</v>
      </c>
      <c r="K3" s="128">
        <v>0.3871</v>
      </c>
      <c r="L3" s="128">
        <v>0.3314</v>
      </c>
      <c r="M3" s="128">
        <v>-0.2243</v>
      </c>
      <c r="N3" s="128">
        <v>-0.2042</v>
      </c>
      <c r="O3" s="128">
        <v>-0.2789</v>
      </c>
      <c r="P3" s="128">
        <v>0.2975</v>
      </c>
      <c r="Q3" s="128">
        <v>0.063</v>
      </c>
      <c r="R3" s="128">
        <v>0.047</v>
      </c>
      <c r="S3" s="140">
        <v>0.0997</v>
      </c>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row>
    <row r="4" spans="1:48" ht="16.5" thickBot="1">
      <c r="A4" s="111">
        <v>10000</v>
      </c>
      <c r="B4" s="112">
        <f>A4+A4*B3</f>
        <v>13594</v>
      </c>
      <c r="C4" s="112">
        <f aca="true" t="shared" si="1" ref="C4:S4">B4+B4*C3</f>
        <v>10059.56</v>
      </c>
      <c r="D4" s="112">
        <f t="shared" si="1"/>
        <v>14204.098719999998</v>
      </c>
      <c r="E4" s="112">
        <f t="shared" si="1"/>
        <v>14915.724065871998</v>
      </c>
      <c r="F4" s="112">
        <f t="shared" si="1"/>
        <v>15348.280063782286</v>
      </c>
      <c r="G4" s="112">
        <f t="shared" si="1"/>
        <v>15741.196033415112</v>
      </c>
      <c r="H4" s="112">
        <f t="shared" si="1"/>
        <v>21593.77271863885</v>
      </c>
      <c r="I4" s="112">
        <f t="shared" si="1"/>
        <v>26586.252971188154</v>
      </c>
      <c r="J4" s="112">
        <f t="shared" si="1"/>
        <v>34692.40150210342</v>
      </c>
      <c r="K4" s="112">
        <f t="shared" si="1"/>
        <v>48121.830123567655</v>
      </c>
      <c r="L4" s="112">
        <f t="shared" si="1"/>
        <v>64069.40462651798</v>
      </c>
      <c r="M4" s="112">
        <f t="shared" si="1"/>
        <v>49698.637168789995</v>
      </c>
      <c r="N4" s="112">
        <f t="shared" si="1"/>
        <v>39550.17545892308</v>
      </c>
      <c r="O4" s="112">
        <f t="shared" si="1"/>
        <v>28519.63152342943</v>
      </c>
      <c r="P4" s="112">
        <f t="shared" si="1"/>
        <v>37004.22190164968</v>
      </c>
      <c r="Q4" s="112">
        <f t="shared" si="1"/>
        <v>39335.48788145361</v>
      </c>
      <c r="R4" s="112">
        <f t="shared" si="1"/>
        <v>41184.255811881936</v>
      </c>
      <c r="S4" s="112">
        <f t="shared" si="1"/>
        <v>45290.32611632656</v>
      </c>
      <c r="T4" s="68">
        <f>S56</f>
        <v>0.0875387672578739</v>
      </c>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row>
    <row r="5" spans="1:48" ht="16.5" thickBot="1">
      <c r="A5" s="121" t="s">
        <v>6</v>
      </c>
      <c r="B5" s="129">
        <v>0.3148</v>
      </c>
      <c r="C5" s="129">
        <v>-0.051</v>
      </c>
      <c r="D5" s="129">
        <v>0.47</v>
      </c>
      <c r="E5" s="129">
        <v>0.0871</v>
      </c>
      <c r="F5" s="129">
        <v>0.1119</v>
      </c>
      <c r="G5" s="129">
        <v>-0.0216</v>
      </c>
      <c r="H5" s="129">
        <v>0.3398</v>
      </c>
      <c r="I5" s="129">
        <v>0.1748</v>
      </c>
      <c r="J5" s="129">
        <v>0.2254</v>
      </c>
      <c r="K5" s="129">
        <v>0.1786</v>
      </c>
      <c r="L5" s="129">
        <v>0.5131</v>
      </c>
      <c r="M5" s="129">
        <v>-0.1175</v>
      </c>
      <c r="N5" s="129">
        <v>-0.2016</v>
      </c>
      <c r="O5" s="129">
        <v>-0.2741</v>
      </c>
      <c r="P5" s="129">
        <v>0.4271</v>
      </c>
      <c r="Q5" s="129">
        <v>0.1548</v>
      </c>
      <c r="R5" s="129">
        <v>0.152</v>
      </c>
      <c r="S5" s="129">
        <v>0.0524</v>
      </c>
      <c r="T5" s="68" t="s">
        <v>3</v>
      </c>
      <c r="U5" s="106" t="s">
        <v>3</v>
      </c>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row>
    <row r="6" spans="1:48" ht="16.5" thickBot="1">
      <c r="A6" s="111">
        <v>10000</v>
      </c>
      <c r="B6" s="111">
        <f>A6+A6*B5</f>
        <v>13148</v>
      </c>
      <c r="C6" s="111">
        <f aca="true" t="shared" si="2" ref="C6:S6">B6+B6*C5</f>
        <v>12477.452</v>
      </c>
      <c r="D6" s="111">
        <f t="shared" si="2"/>
        <v>18341.85444</v>
      </c>
      <c r="E6" s="111">
        <f t="shared" si="2"/>
        <v>19939.429961724</v>
      </c>
      <c r="F6" s="111">
        <f t="shared" si="2"/>
        <v>22170.652174440915</v>
      </c>
      <c r="G6" s="111">
        <f t="shared" si="2"/>
        <v>21691.76608747299</v>
      </c>
      <c r="H6" s="111">
        <f t="shared" si="2"/>
        <v>29062.628203996315</v>
      </c>
      <c r="I6" s="111">
        <f t="shared" si="2"/>
        <v>34142.77561405487</v>
      </c>
      <c r="J6" s="111">
        <f t="shared" si="2"/>
        <v>41838.55723746284</v>
      </c>
      <c r="K6" s="111">
        <f t="shared" si="2"/>
        <v>49310.9235600737</v>
      </c>
      <c r="L6" s="111">
        <f t="shared" si="2"/>
        <v>74612.35843874751</v>
      </c>
      <c r="M6" s="111">
        <f t="shared" si="2"/>
        <v>65845.40632219469</v>
      </c>
      <c r="N6" s="111">
        <f t="shared" si="2"/>
        <v>52570.972407640234</v>
      </c>
      <c r="O6" s="111">
        <f t="shared" si="2"/>
        <v>38161.268870706044</v>
      </c>
      <c r="P6" s="111">
        <f t="shared" si="2"/>
        <v>54459.94680538459</v>
      </c>
      <c r="Q6" s="111">
        <f t="shared" si="2"/>
        <v>62890.34657085813</v>
      </c>
      <c r="R6" s="111">
        <f t="shared" si="2"/>
        <v>72449.67924962856</v>
      </c>
      <c r="S6" s="111">
        <f t="shared" si="2"/>
        <v>76246.0424423091</v>
      </c>
      <c r="T6" s="68">
        <f>S57</f>
        <v>0.11946900220372508</v>
      </c>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16.5" thickBot="1">
      <c r="A7" s="122" t="s">
        <v>38</v>
      </c>
      <c r="B7" s="130">
        <v>0.2019</v>
      </c>
      <c r="C7" s="130">
        <v>-0.1742</v>
      </c>
      <c r="D7" s="130">
        <v>0.512</v>
      </c>
      <c r="E7" s="130">
        <v>0.0777</v>
      </c>
      <c r="F7" s="130">
        <v>0.1337</v>
      </c>
      <c r="G7" s="130">
        <v>-0.0242</v>
      </c>
      <c r="H7" s="130">
        <v>0.31</v>
      </c>
      <c r="I7" s="130">
        <v>0.1127</v>
      </c>
      <c r="J7" s="130">
        <v>0.1295</v>
      </c>
      <c r="K7" s="130">
        <v>0.0124</v>
      </c>
      <c r="L7" s="130">
        <v>0.431</v>
      </c>
      <c r="M7" s="130">
        <v>-0.2244</v>
      </c>
      <c r="N7" s="130">
        <v>-0.0923</v>
      </c>
      <c r="O7" s="130">
        <v>-0.3026</v>
      </c>
      <c r="P7" s="130">
        <v>0.4854</v>
      </c>
      <c r="Q7" s="130">
        <v>0.1431</v>
      </c>
      <c r="R7" s="130">
        <v>0.108</v>
      </c>
      <c r="S7" s="130">
        <v>0.1005</v>
      </c>
      <c r="T7" s="68" t="s">
        <v>3</v>
      </c>
      <c r="U7" s="104"/>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row>
    <row r="8" spans="1:48" ht="16.5" thickBot="1">
      <c r="A8" s="111">
        <v>10000</v>
      </c>
      <c r="B8" s="111">
        <f>A8+A8*B7</f>
        <v>12019</v>
      </c>
      <c r="C8" s="111">
        <f aca="true" t="shared" si="3" ref="C8:S8">B8+B8*C7</f>
        <v>9925.2902</v>
      </c>
      <c r="D8" s="111">
        <f t="shared" si="3"/>
        <v>15007.038782399999</v>
      </c>
      <c r="E8" s="111">
        <f t="shared" si="3"/>
        <v>16173.085695792479</v>
      </c>
      <c r="F8" s="111">
        <f t="shared" si="3"/>
        <v>18335.427253319933</v>
      </c>
      <c r="G8" s="111">
        <f t="shared" si="3"/>
        <v>17891.70991378959</v>
      </c>
      <c r="H8" s="111">
        <f t="shared" si="3"/>
        <v>23438.13998706436</v>
      </c>
      <c r="I8" s="111">
        <f t="shared" si="3"/>
        <v>26079.618363606514</v>
      </c>
      <c r="J8" s="111">
        <f t="shared" si="3"/>
        <v>29456.928941693557</v>
      </c>
      <c r="K8" s="111">
        <f t="shared" si="3"/>
        <v>29822.19486057056</v>
      </c>
      <c r="L8" s="111">
        <f t="shared" si="3"/>
        <v>42675.56084547647</v>
      </c>
      <c r="M8" s="111">
        <f t="shared" si="3"/>
        <v>33099.16499175155</v>
      </c>
      <c r="N8" s="111">
        <f t="shared" si="3"/>
        <v>30044.112063012886</v>
      </c>
      <c r="O8" s="111">
        <f t="shared" si="3"/>
        <v>20952.763752745188</v>
      </c>
      <c r="P8" s="111">
        <f t="shared" si="3"/>
        <v>31123.235278327702</v>
      </c>
      <c r="Q8" s="111">
        <f t="shared" si="3"/>
        <v>35576.9702466564</v>
      </c>
      <c r="R8" s="111">
        <f t="shared" si="3"/>
        <v>39419.28303329529</v>
      </c>
      <c r="S8" s="111">
        <f t="shared" si="3"/>
        <v>43380.92097814146</v>
      </c>
      <c r="T8" s="68">
        <f>S58</f>
        <v>0.08493941509839108</v>
      </c>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row>
    <row r="9" spans="1:48" ht="16.5" thickBot="1">
      <c r="A9" s="123" t="s">
        <v>7</v>
      </c>
      <c r="B9" s="131">
        <v>0.2521</v>
      </c>
      <c r="C9" s="132">
        <v>-0.081</v>
      </c>
      <c r="D9" s="132">
        <v>0.2461</v>
      </c>
      <c r="E9" s="132">
        <v>0.1381</v>
      </c>
      <c r="F9" s="132">
        <v>0.1813</v>
      </c>
      <c r="G9" s="132">
        <v>-0.0201</v>
      </c>
      <c r="H9" s="132">
        <v>0.3835</v>
      </c>
      <c r="I9" s="132">
        <v>0.2164</v>
      </c>
      <c r="J9" s="132">
        <v>0.3518</v>
      </c>
      <c r="K9" s="132">
        <v>0.1563</v>
      </c>
      <c r="L9" s="132">
        <v>0.0734</v>
      </c>
      <c r="M9" s="132">
        <v>0.0702</v>
      </c>
      <c r="N9" s="132">
        <v>0.0559</v>
      </c>
      <c r="O9" s="132">
        <v>-0.1552</v>
      </c>
      <c r="P9" s="132">
        <v>0.3003</v>
      </c>
      <c r="Q9" s="132">
        <v>0.1649</v>
      </c>
      <c r="R9" s="132">
        <v>0.063</v>
      </c>
      <c r="S9" s="132">
        <v>0.1861</v>
      </c>
      <c r="T9" s="68" t="s">
        <v>3</v>
      </c>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row>
    <row r="10" spans="1:48" ht="16.5" thickBot="1">
      <c r="A10" s="111">
        <v>10000</v>
      </c>
      <c r="B10" s="111">
        <f>A10+A10*B9</f>
        <v>12521</v>
      </c>
      <c r="C10" s="111">
        <f aca="true" t="shared" si="4" ref="C10:S10">B10+B10*C9</f>
        <v>11506.798999999999</v>
      </c>
      <c r="D10" s="111">
        <f t="shared" si="4"/>
        <v>14338.6222339</v>
      </c>
      <c r="E10" s="111">
        <f t="shared" si="4"/>
        <v>16318.78596440159</v>
      </c>
      <c r="F10" s="111">
        <f t="shared" si="4"/>
        <v>19277.3818597476</v>
      </c>
      <c r="G10" s="111">
        <f t="shared" si="4"/>
        <v>18889.90648436667</v>
      </c>
      <c r="H10" s="111">
        <f t="shared" si="4"/>
        <v>26134.18562112129</v>
      </c>
      <c r="I10" s="111">
        <f t="shared" si="4"/>
        <v>31789.62338953194</v>
      </c>
      <c r="J10" s="111">
        <f t="shared" si="4"/>
        <v>42973.21289796927</v>
      </c>
      <c r="K10" s="111">
        <f t="shared" si="4"/>
        <v>49689.926073921866</v>
      </c>
      <c r="L10" s="111">
        <f t="shared" si="4"/>
        <v>53337.166647747734</v>
      </c>
      <c r="M10" s="111">
        <f t="shared" si="4"/>
        <v>57081.43574641962</v>
      </c>
      <c r="N10" s="111">
        <f t="shared" si="4"/>
        <v>60272.28800464448</v>
      </c>
      <c r="O10" s="111">
        <f t="shared" si="4"/>
        <v>50918.028906323656</v>
      </c>
      <c r="P10" s="111">
        <f t="shared" si="4"/>
        <v>66208.71298689266</v>
      </c>
      <c r="Q10" s="111">
        <f t="shared" si="4"/>
        <v>77126.52975843125</v>
      </c>
      <c r="R10" s="111">
        <f t="shared" si="4"/>
        <v>81985.50113321241</v>
      </c>
      <c r="S10" s="111">
        <f t="shared" si="4"/>
        <v>97243.00289410324</v>
      </c>
      <c r="T10" s="68">
        <f>S59</f>
        <v>0.134699909134139</v>
      </c>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row>
    <row r="11" spans="1:48" ht="16.5" thickBot="1">
      <c r="A11" s="124" t="s">
        <v>8</v>
      </c>
      <c r="B11" s="133">
        <v>0.2269</v>
      </c>
      <c r="C11" s="133">
        <v>-0.1608</v>
      </c>
      <c r="D11" s="133">
        <v>0.379</v>
      </c>
      <c r="E11" s="133">
        <v>0.2168</v>
      </c>
      <c r="F11" s="133">
        <v>0.1562</v>
      </c>
      <c r="G11" s="133">
        <v>-0.0212</v>
      </c>
      <c r="H11" s="133">
        <v>0.3493</v>
      </c>
      <c r="I11" s="133">
        <v>0.2026</v>
      </c>
      <c r="J11" s="133">
        <v>0.3436</v>
      </c>
      <c r="K11" s="133">
        <v>0.0508</v>
      </c>
      <c r="L11" s="133">
        <v>-0.1</v>
      </c>
      <c r="M11" s="133">
        <v>0.1919</v>
      </c>
      <c r="N11" s="133">
        <v>0.0233</v>
      </c>
      <c r="O11" s="133">
        <v>-0.0965</v>
      </c>
      <c r="P11" s="133">
        <v>0.3807</v>
      </c>
      <c r="Q11" s="133">
        <v>0.2371</v>
      </c>
      <c r="R11" s="133">
        <v>0.131</v>
      </c>
      <c r="S11" s="133">
        <v>0.1269</v>
      </c>
      <c r="T11" s="68" t="s">
        <v>3</v>
      </c>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row>
    <row r="12" spans="1:48" ht="16.5" thickBot="1">
      <c r="A12" s="111">
        <v>10000</v>
      </c>
      <c r="B12" s="111">
        <f>A12+A12*B11</f>
        <v>12269</v>
      </c>
      <c r="C12" s="111">
        <f>B12+B12*C11</f>
        <v>10296.1448</v>
      </c>
      <c r="D12" s="111">
        <f aca="true" t="shared" si="5" ref="D12:S12">C12+C12*D11</f>
        <v>14198.3836792</v>
      </c>
      <c r="E12" s="111">
        <f t="shared" si="5"/>
        <v>17276.59326085056</v>
      </c>
      <c r="F12" s="111">
        <f t="shared" si="5"/>
        <v>19975.197128195417</v>
      </c>
      <c r="G12" s="111">
        <f t="shared" si="5"/>
        <v>19551.722949077674</v>
      </c>
      <c r="H12" s="111">
        <f t="shared" si="5"/>
        <v>26381.139775190506</v>
      </c>
      <c r="I12" s="111">
        <f t="shared" si="5"/>
        <v>31725.958693644105</v>
      </c>
      <c r="J12" s="111">
        <f t="shared" si="5"/>
        <v>42626.99810078022</v>
      </c>
      <c r="K12" s="111">
        <f t="shared" si="5"/>
        <v>44792.44960429986</v>
      </c>
      <c r="L12" s="111">
        <f t="shared" si="5"/>
        <v>40313.204643869874</v>
      </c>
      <c r="M12" s="111">
        <f t="shared" si="5"/>
        <v>48049.3086150285</v>
      </c>
      <c r="N12" s="111">
        <f t="shared" si="5"/>
        <v>49168.857505758664</v>
      </c>
      <c r="O12" s="111">
        <f t="shared" si="5"/>
        <v>44424.06275645296</v>
      </c>
      <c r="P12" s="111">
        <f t="shared" si="5"/>
        <v>61336.303447834594</v>
      </c>
      <c r="Q12" s="111">
        <f t="shared" si="5"/>
        <v>75879.14099531618</v>
      </c>
      <c r="R12" s="111">
        <f t="shared" si="5"/>
        <v>85819.3084657026</v>
      </c>
      <c r="S12" s="111">
        <f t="shared" si="5"/>
        <v>96709.77871000026</v>
      </c>
      <c r="T12" s="68">
        <f>S60</f>
        <v>0.13435334221959858</v>
      </c>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row>
    <row r="13" spans="1:48" ht="16.5" thickBot="1">
      <c r="A13" s="125" t="s">
        <v>9</v>
      </c>
      <c r="B13" s="134">
        <v>0.1242</v>
      </c>
      <c r="C13" s="134">
        <v>-0.2177</v>
      </c>
      <c r="D13" s="134">
        <v>0.417</v>
      </c>
      <c r="E13" s="134">
        <v>0.2914</v>
      </c>
      <c r="F13" s="134">
        <v>0.2384</v>
      </c>
      <c r="G13" s="134">
        <v>-0.0155</v>
      </c>
      <c r="H13" s="134">
        <v>0.2575</v>
      </c>
      <c r="I13" s="134">
        <v>0.2137</v>
      </c>
      <c r="J13" s="134">
        <v>0.3179</v>
      </c>
      <c r="K13" s="134">
        <v>-0.0645</v>
      </c>
      <c r="L13" s="134">
        <v>-0.0148</v>
      </c>
      <c r="M13" s="134">
        <v>0.228</v>
      </c>
      <c r="N13" s="134">
        <v>0.1402</v>
      </c>
      <c r="O13" s="134">
        <v>-0.1143</v>
      </c>
      <c r="P13" s="134">
        <v>0.4603</v>
      </c>
      <c r="Q13" s="134">
        <v>0.2225</v>
      </c>
      <c r="R13" s="134">
        <v>0.077</v>
      </c>
      <c r="S13" s="134">
        <v>0.1804</v>
      </c>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row>
    <row r="14" spans="1:48" ht="16.5" thickBot="1">
      <c r="A14" s="111">
        <v>10000</v>
      </c>
      <c r="B14" s="111">
        <f>A14+A14*B13</f>
        <v>11242</v>
      </c>
      <c r="C14" s="111">
        <f aca="true" t="shared" si="6" ref="C14:S14">B14+B14*C13</f>
        <v>8794.6166</v>
      </c>
      <c r="D14" s="111">
        <f t="shared" si="6"/>
        <v>12461.9717222</v>
      </c>
      <c r="E14" s="111">
        <f t="shared" si="6"/>
        <v>16093.39028204908</v>
      </c>
      <c r="F14" s="111">
        <f t="shared" si="6"/>
        <v>19930.054525289583</v>
      </c>
      <c r="G14" s="111">
        <f t="shared" si="6"/>
        <v>19621.138680147593</v>
      </c>
      <c r="H14" s="111">
        <f t="shared" si="6"/>
        <v>24673.581890285597</v>
      </c>
      <c r="I14" s="111">
        <f t="shared" si="6"/>
        <v>29946.32634023963</v>
      </c>
      <c r="J14" s="111">
        <f t="shared" si="6"/>
        <v>39466.263483801806</v>
      </c>
      <c r="K14" s="111">
        <f t="shared" si="6"/>
        <v>36920.68948909659</v>
      </c>
      <c r="L14" s="111">
        <f t="shared" si="6"/>
        <v>36374.263284657965</v>
      </c>
      <c r="M14" s="111">
        <f t="shared" si="6"/>
        <v>44667.595313559985</v>
      </c>
      <c r="N14" s="111">
        <f t="shared" si="6"/>
        <v>50929.9921765211</v>
      </c>
      <c r="O14" s="111">
        <f t="shared" si="6"/>
        <v>45108.694070744736</v>
      </c>
      <c r="P14" s="111">
        <f t="shared" si="6"/>
        <v>65872.22595150853</v>
      </c>
      <c r="Q14" s="111">
        <f t="shared" si="6"/>
        <v>80528.79622571918</v>
      </c>
      <c r="R14" s="111">
        <f t="shared" si="6"/>
        <v>86729.51353509956</v>
      </c>
      <c r="S14" s="111">
        <f t="shared" si="6"/>
        <v>102375.51777683152</v>
      </c>
      <c r="T14" s="113">
        <f>S61</f>
        <v>0.1379469239151287</v>
      </c>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1:48" ht="16.5" thickBot="1">
      <c r="A15" s="126" t="s">
        <v>39</v>
      </c>
      <c r="B15" s="135">
        <v>0.108</v>
      </c>
      <c r="C15" s="135">
        <v>-0.232</v>
      </c>
      <c r="D15" s="135">
        <v>0.125</v>
      </c>
      <c r="E15" s="135">
        <v>-0.1184</v>
      </c>
      <c r="F15" s="135">
        <v>0.3294</v>
      </c>
      <c r="G15" s="135">
        <v>0.0806</v>
      </c>
      <c r="H15" s="135">
        <v>0.1155</v>
      </c>
      <c r="I15" s="135">
        <v>0.0634</v>
      </c>
      <c r="J15" s="135">
        <v>0.0205</v>
      </c>
      <c r="K15" s="135">
        <v>0.2034</v>
      </c>
      <c r="L15" s="135">
        <v>0.2729</v>
      </c>
      <c r="M15" s="135">
        <v>-0.1395</v>
      </c>
      <c r="N15" s="135">
        <v>-0.2121</v>
      </c>
      <c r="O15" s="135">
        <v>-0.1565</v>
      </c>
      <c r="P15" s="135">
        <v>0.3917</v>
      </c>
      <c r="Q15" s="135">
        <v>0.207</v>
      </c>
      <c r="R15" s="135">
        <v>0.1413</v>
      </c>
      <c r="S15" s="135">
        <v>0.2546</v>
      </c>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row>
    <row r="16" spans="1:48" ht="16.5" thickBot="1">
      <c r="A16" s="111">
        <v>10000</v>
      </c>
      <c r="B16" s="111">
        <f>A16+A16*B15</f>
        <v>11080</v>
      </c>
      <c r="C16" s="111">
        <f aca="true" t="shared" si="7" ref="C16:S16">B16+B16*C15</f>
        <v>8509.44</v>
      </c>
      <c r="D16" s="111">
        <f t="shared" si="7"/>
        <v>9573.12</v>
      </c>
      <c r="E16" s="111">
        <f t="shared" si="7"/>
        <v>8439.662592</v>
      </c>
      <c r="F16" s="111">
        <f t="shared" si="7"/>
        <v>11219.687449804802</v>
      </c>
      <c r="G16" s="111">
        <f t="shared" si="7"/>
        <v>12123.994258259068</v>
      </c>
      <c r="H16" s="111">
        <f t="shared" si="7"/>
        <v>13524.315595087992</v>
      </c>
      <c r="I16" s="111">
        <f t="shared" si="7"/>
        <v>14381.75720381657</v>
      </c>
      <c r="J16" s="111">
        <f t="shared" si="7"/>
        <v>14676.583226494811</v>
      </c>
      <c r="K16" s="111">
        <f t="shared" si="7"/>
        <v>17661.800254763857</v>
      </c>
      <c r="L16" s="111">
        <f t="shared" si="7"/>
        <v>22481.705544288914</v>
      </c>
      <c r="M16" s="111">
        <f t="shared" si="7"/>
        <v>19345.50762086061</v>
      </c>
      <c r="N16" s="111">
        <f t="shared" si="7"/>
        <v>15242.325454476075</v>
      </c>
      <c r="O16" s="111">
        <f t="shared" si="7"/>
        <v>12856.90152085057</v>
      </c>
      <c r="P16" s="111">
        <f t="shared" si="7"/>
        <v>17892.94984656774</v>
      </c>
      <c r="Q16" s="111">
        <f t="shared" si="7"/>
        <v>21596.79046480726</v>
      </c>
      <c r="R16" s="111">
        <f t="shared" si="7"/>
        <v>24648.41695748453</v>
      </c>
      <c r="S16" s="111">
        <f t="shared" si="7"/>
        <v>30923.90391486009</v>
      </c>
      <c r="T16" s="113">
        <f>S62</f>
        <v>0.0647277495921936</v>
      </c>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1:48" ht="16.5" thickBot="1">
      <c r="A17" s="127" t="s">
        <v>42</v>
      </c>
      <c r="B17" s="136">
        <v>0.0884</v>
      </c>
      <c r="C17" s="136">
        <v>-0.1535</v>
      </c>
      <c r="D17" s="136">
        <v>0.357</v>
      </c>
      <c r="E17" s="136">
        <v>0.1459</v>
      </c>
      <c r="F17" s="136">
        <v>0.1965</v>
      </c>
      <c r="G17" s="136">
        <v>0.0317</v>
      </c>
      <c r="H17" s="136">
        <v>0.1527</v>
      </c>
      <c r="I17" s="136">
        <v>0.3527</v>
      </c>
      <c r="J17" s="136">
        <v>0.2026</v>
      </c>
      <c r="K17" s="136">
        <v>-0.175</v>
      </c>
      <c r="L17" s="136">
        <v>-0.0462</v>
      </c>
      <c r="M17" s="136">
        <v>0.2637</v>
      </c>
      <c r="N17" s="136">
        <v>0.1393</v>
      </c>
      <c r="O17" s="136">
        <v>0.0382</v>
      </c>
      <c r="P17" s="136">
        <v>0.3713</v>
      </c>
      <c r="Q17" s="136">
        <v>0.3158</v>
      </c>
      <c r="R17" s="136">
        <v>0.159</v>
      </c>
      <c r="S17" s="136">
        <v>0.3817</v>
      </c>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row>
    <row r="18" spans="1:48" ht="16.5" thickBot="1">
      <c r="A18" s="111">
        <v>10000</v>
      </c>
      <c r="B18" s="111">
        <f>A18+A18*B17</f>
        <v>10884</v>
      </c>
      <c r="C18" s="111">
        <f aca="true" t="shared" si="8" ref="C18:S18">B18+B18*C17</f>
        <v>9213.306</v>
      </c>
      <c r="D18" s="111">
        <f t="shared" si="8"/>
        <v>12502.456242</v>
      </c>
      <c r="E18" s="111">
        <f t="shared" si="8"/>
        <v>14326.5646077078</v>
      </c>
      <c r="F18" s="111">
        <f t="shared" si="8"/>
        <v>17141.734553122384</v>
      </c>
      <c r="G18" s="111">
        <f t="shared" si="8"/>
        <v>17685.127538456363</v>
      </c>
      <c r="H18" s="111">
        <f t="shared" si="8"/>
        <v>20385.64651357865</v>
      </c>
      <c r="I18" s="111">
        <f t="shared" si="8"/>
        <v>27575.66403891784</v>
      </c>
      <c r="J18" s="111">
        <f t="shared" si="8"/>
        <v>33162.49357320259</v>
      </c>
      <c r="K18" s="111">
        <f t="shared" si="8"/>
        <v>27359.057197892136</v>
      </c>
      <c r="L18" s="111">
        <f t="shared" si="8"/>
        <v>26095.06875534952</v>
      </c>
      <c r="M18" s="111">
        <f t="shared" si="8"/>
        <v>32976.33838613519</v>
      </c>
      <c r="N18" s="111">
        <f t="shared" si="8"/>
        <v>37569.94232332382</v>
      </c>
      <c r="O18" s="111">
        <f t="shared" si="8"/>
        <v>39005.11412007479</v>
      </c>
      <c r="P18" s="111">
        <f t="shared" si="8"/>
        <v>53487.71299285856</v>
      </c>
      <c r="Q18" s="111">
        <f t="shared" si="8"/>
        <v>70379.1327560033</v>
      </c>
      <c r="R18" s="111">
        <f t="shared" si="8"/>
        <v>81569.41486420782</v>
      </c>
      <c r="S18" s="111">
        <f t="shared" si="8"/>
        <v>112704.46051787594</v>
      </c>
      <c r="T18" s="113">
        <f>S63</f>
        <v>0.14403990295303573</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1:48" ht="16.5" thickBot="1">
      <c r="A19" s="119" t="s">
        <v>56</v>
      </c>
      <c r="B19" s="137">
        <f>(B20-A20)/A20</f>
        <v>0.2094625</v>
      </c>
      <c r="C19" s="137">
        <f aca="true" t="shared" si="9" ref="C19:S19">(C20-B20)/B20</f>
        <v>-0.1650980435524044</v>
      </c>
      <c r="D19" s="137">
        <f t="shared" si="9"/>
        <v>0.3694475548255565</v>
      </c>
      <c r="E19" s="137">
        <f t="shared" si="9"/>
        <v>0.11620695836143426</v>
      </c>
      <c r="F19" s="137">
        <f t="shared" si="9"/>
        <v>0.16127839821019574</v>
      </c>
      <c r="G19" s="137">
        <f t="shared" si="9"/>
        <v>-0.001407638032170804</v>
      </c>
      <c r="H19" s="137">
        <f t="shared" si="9"/>
        <v>0.29328112204337237</v>
      </c>
      <c r="I19" s="137">
        <f t="shared" si="9"/>
        <v>0.19997777593193056</v>
      </c>
      <c r="J19" s="137">
        <f t="shared" si="9"/>
        <v>0.2549879777138922</v>
      </c>
      <c r="K19" s="137">
        <f t="shared" si="9"/>
        <v>0.0888706177269404</v>
      </c>
      <c r="L19" s="137">
        <f t="shared" si="9"/>
        <v>0.18532689286783322</v>
      </c>
      <c r="M19" s="137">
        <f t="shared" si="9"/>
        <v>-0.025545535597175886</v>
      </c>
      <c r="N19" s="137">
        <f t="shared" si="9"/>
        <v>-0.04394622992842873</v>
      </c>
      <c r="O19" s="137">
        <f t="shared" si="9"/>
        <v>-0.16520775416783468</v>
      </c>
      <c r="P19" s="137">
        <f t="shared" si="9"/>
        <v>0.383783533360994</v>
      </c>
      <c r="Q19" s="137">
        <f t="shared" si="9"/>
        <v>0.19600094242825405</v>
      </c>
      <c r="R19" s="137">
        <f t="shared" si="9"/>
        <v>0.10898066082976056</v>
      </c>
      <c r="S19" s="137">
        <f t="shared" si="9"/>
        <v>0.17724333974799147</v>
      </c>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1:48" ht="15.75">
      <c r="A20" s="112">
        <f aca="true" t="shared" si="10" ref="A20:R20">A18+A16+A14+A12+A10+A8+A6+A4</f>
        <v>80000</v>
      </c>
      <c r="B20" s="112">
        <f t="shared" si="10"/>
        <v>96757</v>
      </c>
      <c r="C20" s="112">
        <f t="shared" si="10"/>
        <v>80782.6086</v>
      </c>
      <c r="D20" s="112">
        <f t="shared" si="10"/>
        <v>110627.54581969998</v>
      </c>
      <c r="E20" s="112">
        <f t="shared" si="10"/>
        <v>123483.23643039752</v>
      </c>
      <c r="F20" s="112">
        <f t="shared" si="10"/>
        <v>143398.41500770292</v>
      </c>
      <c r="G20" s="112">
        <f t="shared" si="10"/>
        <v>143196.56194498506</v>
      </c>
      <c r="H20" s="112">
        <f t="shared" si="10"/>
        <v>185193.41030496356</v>
      </c>
      <c r="I20" s="112">
        <f t="shared" si="10"/>
        <v>222227.97661499964</v>
      </c>
      <c r="J20" s="112">
        <f t="shared" si="10"/>
        <v>278893.4389635085</v>
      </c>
      <c r="K20" s="112">
        <f t="shared" si="10"/>
        <v>303678.8711641863</v>
      </c>
      <c r="L20" s="112">
        <f t="shared" si="10"/>
        <v>359958.73278665595</v>
      </c>
      <c r="M20" s="112">
        <f t="shared" si="10"/>
        <v>350763.3941647401</v>
      </c>
      <c r="N20" s="112">
        <f t="shared" si="10"/>
        <v>335348.66539430036</v>
      </c>
      <c r="O20" s="112">
        <f t="shared" si="10"/>
        <v>279946.46552132734</v>
      </c>
      <c r="P20" s="112">
        <f t="shared" si="10"/>
        <v>387385.309211024</v>
      </c>
      <c r="Q20" s="112">
        <f t="shared" si="10"/>
        <v>463313.19489924534</v>
      </c>
      <c r="R20" s="112">
        <f t="shared" si="10"/>
        <v>513805.37305051275</v>
      </c>
      <c r="S20" s="112">
        <f>S18+S16+S14+S12+S10+S8+S6+S4</f>
        <v>604873.9533504483</v>
      </c>
      <c r="T20" s="113">
        <f>S64</f>
        <v>0.11894751591255029</v>
      </c>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row>
    <row r="21" spans="1:48" ht="15.75">
      <c r="A21" s="112"/>
      <c r="B21" s="112"/>
      <c r="C21" s="112"/>
      <c r="D21" s="112"/>
      <c r="E21" s="112"/>
      <c r="F21" s="112"/>
      <c r="G21" s="112"/>
      <c r="H21" s="112"/>
      <c r="I21" s="112"/>
      <c r="J21" s="112"/>
      <c r="K21" s="112"/>
      <c r="L21" s="112"/>
      <c r="M21" s="112"/>
      <c r="N21" s="112"/>
      <c r="O21" s="112"/>
      <c r="P21" s="112"/>
      <c r="Q21" s="112"/>
      <c r="R21" s="112"/>
      <c r="S21" s="112"/>
      <c r="T21" s="113"/>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row>
    <row r="22" spans="1:48" ht="16.5" thickBot="1">
      <c r="A22" s="16" t="s">
        <v>57</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1:48" ht="16.5" thickBot="1">
      <c r="A23" s="35" t="s">
        <v>4</v>
      </c>
      <c r="B23" s="115">
        <f>1+B3</f>
        <v>1.3594</v>
      </c>
      <c r="C23" s="115">
        <f aca="true" t="shared" si="11" ref="C23:R23">1+C3</f>
        <v>0.74</v>
      </c>
      <c r="D23" s="115">
        <f t="shared" si="11"/>
        <v>1.412</v>
      </c>
      <c r="E23" s="115">
        <f t="shared" si="11"/>
        <v>1.0501</v>
      </c>
      <c r="F23" s="115">
        <f t="shared" si="11"/>
        <v>1.029</v>
      </c>
      <c r="G23" s="115">
        <f t="shared" si="11"/>
        <v>1.0256</v>
      </c>
      <c r="H23" s="115">
        <f t="shared" si="11"/>
        <v>1.3718</v>
      </c>
      <c r="I23" s="115">
        <f t="shared" si="11"/>
        <v>1.2312</v>
      </c>
      <c r="J23" s="115">
        <f t="shared" si="11"/>
        <v>1.3049</v>
      </c>
      <c r="K23" s="115">
        <f t="shared" si="11"/>
        <v>1.3871</v>
      </c>
      <c r="L23" s="115">
        <f t="shared" si="11"/>
        <v>1.3314</v>
      </c>
      <c r="M23" s="115">
        <f t="shared" si="11"/>
        <v>0.7757000000000001</v>
      </c>
      <c r="N23" s="115">
        <f t="shared" si="11"/>
        <v>0.7958000000000001</v>
      </c>
      <c r="O23" s="115">
        <f t="shared" si="11"/>
        <v>0.7211000000000001</v>
      </c>
      <c r="P23" s="115">
        <f t="shared" si="11"/>
        <v>1.2974999999999999</v>
      </c>
      <c r="Q23" s="115">
        <f t="shared" si="11"/>
        <v>1.063</v>
      </c>
      <c r="R23" s="115">
        <f t="shared" si="11"/>
        <v>1.047</v>
      </c>
      <c r="S23" s="115">
        <f>1+S3</f>
        <v>1.0997</v>
      </c>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1:19" ht="16.5" thickBot="1">
      <c r="A24" s="34" t="s">
        <v>6</v>
      </c>
      <c r="B24" s="115">
        <f>1+B5</f>
        <v>1.3148</v>
      </c>
      <c r="C24" s="115">
        <f aca="true" t="shared" si="12" ref="C24:R24">1+C5</f>
        <v>0.949</v>
      </c>
      <c r="D24" s="115">
        <f t="shared" si="12"/>
        <v>1.47</v>
      </c>
      <c r="E24" s="115">
        <f t="shared" si="12"/>
        <v>1.0871</v>
      </c>
      <c r="F24" s="115">
        <f t="shared" si="12"/>
        <v>1.1118999999999999</v>
      </c>
      <c r="G24" s="115">
        <f t="shared" si="12"/>
        <v>0.9784</v>
      </c>
      <c r="H24" s="115">
        <f t="shared" si="12"/>
        <v>1.3397999999999999</v>
      </c>
      <c r="I24" s="115">
        <f t="shared" si="12"/>
        <v>1.1748</v>
      </c>
      <c r="J24" s="115">
        <f t="shared" si="12"/>
        <v>1.2254</v>
      </c>
      <c r="K24" s="115">
        <f t="shared" si="12"/>
        <v>1.1786</v>
      </c>
      <c r="L24" s="115">
        <f t="shared" si="12"/>
        <v>1.5131000000000001</v>
      </c>
      <c r="M24" s="115">
        <f t="shared" si="12"/>
        <v>0.8825000000000001</v>
      </c>
      <c r="N24" s="115">
        <f t="shared" si="12"/>
        <v>0.7984</v>
      </c>
      <c r="O24" s="115">
        <f t="shared" si="12"/>
        <v>0.7259</v>
      </c>
      <c r="P24" s="115">
        <f t="shared" si="12"/>
        <v>1.4271</v>
      </c>
      <c r="Q24" s="115">
        <f t="shared" si="12"/>
        <v>1.1548</v>
      </c>
      <c r="R24" s="115">
        <f t="shared" si="12"/>
        <v>1.152</v>
      </c>
      <c r="S24" s="115">
        <f>1+S5</f>
        <v>1.0524</v>
      </c>
    </row>
    <row r="25" spans="1:19" ht="16.5" thickBot="1">
      <c r="A25" s="32" t="s">
        <v>38</v>
      </c>
      <c r="B25" s="115">
        <f>1+B7</f>
        <v>1.2019</v>
      </c>
      <c r="C25" s="115">
        <f aca="true" t="shared" si="13" ref="C25:R25">1+C7</f>
        <v>0.8258</v>
      </c>
      <c r="D25" s="115">
        <f t="shared" si="13"/>
        <v>1.512</v>
      </c>
      <c r="E25" s="115">
        <f t="shared" si="13"/>
        <v>1.0777</v>
      </c>
      <c r="F25" s="115">
        <f t="shared" si="13"/>
        <v>1.1337</v>
      </c>
      <c r="G25" s="115">
        <f t="shared" si="13"/>
        <v>0.9758</v>
      </c>
      <c r="H25" s="115">
        <f t="shared" si="13"/>
        <v>1.31</v>
      </c>
      <c r="I25" s="115">
        <f t="shared" si="13"/>
        <v>1.1127</v>
      </c>
      <c r="J25" s="115">
        <f t="shared" si="13"/>
        <v>1.1295</v>
      </c>
      <c r="K25" s="115">
        <f t="shared" si="13"/>
        <v>1.0124</v>
      </c>
      <c r="L25" s="115">
        <f t="shared" si="13"/>
        <v>1.431</v>
      </c>
      <c r="M25" s="115">
        <f t="shared" si="13"/>
        <v>0.7756000000000001</v>
      </c>
      <c r="N25" s="115">
        <f t="shared" si="13"/>
        <v>0.9077</v>
      </c>
      <c r="O25" s="115">
        <f t="shared" si="13"/>
        <v>0.6974</v>
      </c>
      <c r="P25" s="115">
        <f t="shared" si="13"/>
        <v>1.4854</v>
      </c>
      <c r="Q25" s="115">
        <f t="shared" si="13"/>
        <v>1.1431</v>
      </c>
      <c r="R25" s="115">
        <f t="shared" si="13"/>
        <v>1.108</v>
      </c>
      <c r="S25" s="115">
        <f>1+S7</f>
        <v>1.1005</v>
      </c>
    </row>
    <row r="26" spans="1:19" ht="16.5" thickBot="1">
      <c r="A26" s="41" t="s">
        <v>7</v>
      </c>
      <c r="B26" s="115">
        <f>1+B9</f>
        <v>1.2521</v>
      </c>
      <c r="C26" s="115">
        <f aca="true" t="shared" si="14" ref="C26:R26">1+C9</f>
        <v>0.919</v>
      </c>
      <c r="D26" s="115">
        <f t="shared" si="14"/>
        <v>1.2461</v>
      </c>
      <c r="E26" s="115">
        <f t="shared" si="14"/>
        <v>1.1381000000000001</v>
      </c>
      <c r="F26" s="115">
        <f t="shared" si="14"/>
        <v>1.1813</v>
      </c>
      <c r="G26" s="115">
        <f t="shared" si="14"/>
        <v>0.9799</v>
      </c>
      <c r="H26" s="115">
        <f t="shared" si="14"/>
        <v>1.3835</v>
      </c>
      <c r="I26" s="115">
        <f t="shared" si="14"/>
        <v>1.2164</v>
      </c>
      <c r="J26" s="115">
        <f t="shared" si="14"/>
        <v>1.3518</v>
      </c>
      <c r="K26" s="115">
        <f t="shared" si="14"/>
        <v>1.1562999999999999</v>
      </c>
      <c r="L26" s="115">
        <f t="shared" si="14"/>
        <v>1.0734</v>
      </c>
      <c r="M26" s="115">
        <f t="shared" si="14"/>
        <v>1.0702</v>
      </c>
      <c r="N26" s="115">
        <f t="shared" si="14"/>
        <v>1.0559</v>
      </c>
      <c r="O26" s="115">
        <f t="shared" si="14"/>
        <v>0.8448</v>
      </c>
      <c r="P26" s="115">
        <f t="shared" si="14"/>
        <v>1.3003</v>
      </c>
      <c r="Q26" s="115">
        <f t="shared" si="14"/>
        <v>1.1649</v>
      </c>
      <c r="R26" s="115">
        <f t="shared" si="14"/>
        <v>1.063</v>
      </c>
      <c r="S26" s="115">
        <f>1+S9</f>
        <v>1.1861</v>
      </c>
    </row>
    <row r="27" spans="1:19" ht="16.5" thickBot="1">
      <c r="A27" s="37" t="s">
        <v>8</v>
      </c>
      <c r="B27" s="115">
        <f>1+B11</f>
        <v>1.2269</v>
      </c>
      <c r="C27" s="115">
        <f aca="true" t="shared" si="15" ref="C27:R27">1+C11</f>
        <v>0.8392</v>
      </c>
      <c r="D27" s="115">
        <f t="shared" si="15"/>
        <v>1.379</v>
      </c>
      <c r="E27" s="115">
        <f t="shared" si="15"/>
        <v>1.2168</v>
      </c>
      <c r="F27" s="115">
        <f t="shared" si="15"/>
        <v>1.1562000000000001</v>
      </c>
      <c r="G27" s="115">
        <f t="shared" si="15"/>
        <v>0.9788</v>
      </c>
      <c r="H27" s="115">
        <f t="shared" si="15"/>
        <v>1.3493</v>
      </c>
      <c r="I27" s="115">
        <f t="shared" si="15"/>
        <v>1.2026</v>
      </c>
      <c r="J27" s="115">
        <f t="shared" si="15"/>
        <v>1.3436</v>
      </c>
      <c r="K27" s="115">
        <f t="shared" si="15"/>
        <v>1.0508</v>
      </c>
      <c r="L27" s="115">
        <f t="shared" si="15"/>
        <v>0.9</v>
      </c>
      <c r="M27" s="115">
        <f t="shared" si="15"/>
        <v>1.1919</v>
      </c>
      <c r="N27" s="115">
        <f t="shared" si="15"/>
        <v>1.0233</v>
      </c>
      <c r="O27" s="115">
        <f t="shared" si="15"/>
        <v>0.9035</v>
      </c>
      <c r="P27" s="115">
        <f t="shared" si="15"/>
        <v>1.3807</v>
      </c>
      <c r="Q27" s="115">
        <f t="shared" si="15"/>
        <v>1.2371</v>
      </c>
      <c r="R27" s="115">
        <f t="shared" si="15"/>
        <v>1.131</v>
      </c>
      <c r="S27" s="115">
        <f>1+S11</f>
        <v>1.1269</v>
      </c>
    </row>
    <row r="28" spans="1:19" ht="16.5" thickBot="1">
      <c r="A28" s="43" t="s">
        <v>9</v>
      </c>
      <c r="B28" s="115">
        <f>1+B13</f>
        <v>1.1242</v>
      </c>
      <c r="C28" s="115">
        <f aca="true" t="shared" si="16" ref="C28:R28">1+C13</f>
        <v>0.7823</v>
      </c>
      <c r="D28" s="115">
        <f t="shared" si="16"/>
        <v>1.417</v>
      </c>
      <c r="E28" s="115">
        <f t="shared" si="16"/>
        <v>1.2913999999999999</v>
      </c>
      <c r="F28" s="115">
        <f t="shared" si="16"/>
        <v>1.2384</v>
      </c>
      <c r="G28" s="115">
        <f t="shared" si="16"/>
        <v>0.9845</v>
      </c>
      <c r="H28" s="115">
        <f t="shared" si="16"/>
        <v>1.2575</v>
      </c>
      <c r="I28" s="115">
        <f t="shared" si="16"/>
        <v>1.2137</v>
      </c>
      <c r="J28" s="115">
        <f t="shared" si="16"/>
        <v>1.3179</v>
      </c>
      <c r="K28" s="115">
        <f t="shared" si="16"/>
        <v>0.9355</v>
      </c>
      <c r="L28" s="115">
        <f t="shared" si="16"/>
        <v>0.9852</v>
      </c>
      <c r="M28" s="115">
        <f t="shared" si="16"/>
        <v>1.228</v>
      </c>
      <c r="N28" s="115">
        <f t="shared" si="16"/>
        <v>1.1402</v>
      </c>
      <c r="O28" s="115">
        <f t="shared" si="16"/>
        <v>0.8857</v>
      </c>
      <c r="P28" s="115">
        <f t="shared" si="16"/>
        <v>1.4603</v>
      </c>
      <c r="Q28" s="115">
        <f t="shared" si="16"/>
        <v>1.2225</v>
      </c>
      <c r="R28" s="115">
        <f t="shared" si="16"/>
        <v>1.077</v>
      </c>
      <c r="S28" s="115">
        <f>1+S13</f>
        <v>1.1804000000000001</v>
      </c>
    </row>
    <row r="29" spans="1:19" ht="16.5" thickBot="1">
      <c r="A29" s="39" t="s">
        <v>39</v>
      </c>
      <c r="B29" s="115">
        <f>1+B15</f>
        <v>1.108</v>
      </c>
      <c r="C29" s="115">
        <f aca="true" t="shared" si="17" ref="C29:R29">1+C15</f>
        <v>0.768</v>
      </c>
      <c r="D29" s="115">
        <f t="shared" si="17"/>
        <v>1.125</v>
      </c>
      <c r="E29" s="115">
        <f t="shared" si="17"/>
        <v>0.8815999999999999</v>
      </c>
      <c r="F29" s="115">
        <f t="shared" si="17"/>
        <v>1.3294000000000001</v>
      </c>
      <c r="G29" s="115">
        <f t="shared" si="17"/>
        <v>1.0806</v>
      </c>
      <c r="H29" s="115">
        <f t="shared" si="17"/>
        <v>1.1155</v>
      </c>
      <c r="I29" s="115">
        <f t="shared" si="17"/>
        <v>1.0634</v>
      </c>
      <c r="J29" s="115">
        <f t="shared" si="17"/>
        <v>1.0205</v>
      </c>
      <c r="K29" s="115">
        <f t="shared" si="17"/>
        <v>1.2034</v>
      </c>
      <c r="L29" s="115">
        <f t="shared" si="17"/>
        <v>1.2729</v>
      </c>
      <c r="M29" s="115">
        <f t="shared" si="17"/>
        <v>0.8605</v>
      </c>
      <c r="N29" s="115">
        <f t="shared" si="17"/>
        <v>0.7879</v>
      </c>
      <c r="O29" s="115">
        <f t="shared" si="17"/>
        <v>0.8435</v>
      </c>
      <c r="P29" s="115">
        <f t="shared" si="17"/>
        <v>1.3917</v>
      </c>
      <c r="Q29" s="115">
        <f t="shared" si="17"/>
        <v>1.207</v>
      </c>
      <c r="R29" s="115">
        <f t="shared" si="17"/>
        <v>1.1413</v>
      </c>
      <c r="S29" s="115">
        <f>1+S15</f>
        <v>1.2546</v>
      </c>
    </row>
    <row r="30" spans="1:19" ht="16.5" thickBot="1">
      <c r="A30" s="52" t="s">
        <v>42</v>
      </c>
      <c r="B30" s="115">
        <f>1+B17</f>
        <v>1.0884</v>
      </c>
      <c r="C30" s="115">
        <f aca="true" t="shared" si="18" ref="C30:R30">1+C17</f>
        <v>0.8465</v>
      </c>
      <c r="D30" s="115">
        <f t="shared" si="18"/>
        <v>1.357</v>
      </c>
      <c r="E30" s="115">
        <f t="shared" si="18"/>
        <v>1.1459</v>
      </c>
      <c r="F30" s="115">
        <f t="shared" si="18"/>
        <v>1.1965</v>
      </c>
      <c r="G30" s="115">
        <f t="shared" si="18"/>
        <v>1.0317</v>
      </c>
      <c r="H30" s="115">
        <f t="shared" si="18"/>
        <v>1.1527</v>
      </c>
      <c r="I30" s="115">
        <f t="shared" si="18"/>
        <v>1.3527</v>
      </c>
      <c r="J30" s="115">
        <f t="shared" si="18"/>
        <v>1.2026</v>
      </c>
      <c r="K30" s="115">
        <f t="shared" si="18"/>
        <v>0.825</v>
      </c>
      <c r="L30" s="115">
        <f t="shared" si="18"/>
        <v>0.9538</v>
      </c>
      <c r="M30" s="115">
        <f t="shared" si="18"/>
        <v>1.2637</v>
      </c>
      <c r="N30" s="115">
        <f t="shared" si="18"/>
        <v>1.1393</v>
      </c>
      <c r="O30" s="115">
        <f t="shared" si="18"/>
        <v>1.0382</v>
      </c>
      <c r="P30" s="115">
        <f t="shared" si="18"/>
        <v>1.3713</v>
      </c>
      <c r="Q30" s="115">
        <f t="shared" si="18"/>
        <v>1.3158</v>
      </c>
      <c r="R30" s="115">
        <f t="shared" si="18"/>
        <v>1.159</v>
      </c>
      <c r="S30" s="115">
        <f>1+S17</f>
        <v>1.3817</v>
      </c>
    </row>
    <row r="31" spans="1:19" ht="15.75">
      <c r="A31" s="114" t="s">
        <v>56</v>
      </c>
      <c r="B31" s="115">
        <f>1+B19</f>
        <v>1.2094624999999999</v>
      </c>
      <c r="C31" s="115">
        <f aca="true" t="shared" si="19" ref="C31:R31">1+C19</f>
        <v>0.8349019564475956</v>
      </c>
      <c r="D31" s="115">
        <f t="shared" si="19"/>
        <v>1.3694475548255565</v>
      </c>
      <c r="E31" s="115">
        <f t="shared" si="19"/>
        <v>1.1162069583614342</v>
      </c>
      <c r="F31" s="115">
        <f t="shared" si="19"/>
        <v>1.1612783982101957</v>
      </c>
      <c r="G31" s="115">
        <f t="shared" si="19"/>
        <v>0.9985923619678292</v>
      </c>
      <c r="H31" s="115">
        <f t="shared" si="19"/>
        <v>1.2932811220433724</v>
      </c>
      <c r="I31" s="115">
        <f t="shared" si="19"/>
        <v>1.1999777759319306</v>
      </c>
      <c r="J31" s="115">
        <f t="shared" si="19"/>
        <v>1.2549879777138921</v>
      </c>
      <c r="K31" s="115">
        <f t="shared" si="19"/>
        <v>1.0888706177269405</v>
      </c>
      <c r="L31" s="115">
        <f t="shared" si="19"/>
        <v>1.1853268928678333</v>
      </c>
      <c r="M31" s="115">
        <f t="shared" si="19"/>
        <v>0.9744544644028241</v>
      </c>
      <c r="N31" s="115">
        <f t="shared" si="19"/>
        <v>0.9560537700715712</v>
      </c>
      <c r="O31" s="115">
        <f t="shared" si="19"/>
        <v>0.8347922458321653</v>
      </c>
      <c r="P31" s="115">
        <f t="shared" si="19"/>
        <v>1.383783533360994</v>
      </c>
      <c r="Q31" s="115">
        <f t="shared" si="19"/>
        <v>1.196000942428254</v>
      </c>
      <c r="R31" s="115">
        <f t="shared" si="19"/>
        <v>1.1089806608297605</v>
      </c>
      <c r="S31" s="115">
        <f>1+S19</f>
        <v>1.1772433397479916</v>
      </c>
    </row>
    <row r="32" spans="2:19" ht="15.75">
      <c r="B32" s="115"/>
      <c r="C32" s="115"/>
      <c r="D32" s="115"/>
      <c r="E32" s="115"/>
      <c r="F32" s="115"/>
      <c r="G32" s="115"/>
      <c r="H32" s="115"/>
      <c r="I32" s="115"/>
      <c r="J32" s="115"/>
      <c r="K32" s="115"/>
      <c r="L32" s="115"/>
      <c r="M32" s="115"/>
      <c r="N32" s="115"/>
      <c r="O32" s="115"/>
      <c r="P32" s="115"/>
      <c r="Q32" s="115"/>
      <c r="R32" s="115"/>
      <c r="S32" s="115"/>
    </row>
    <row r="33" spans="1:19" ht="16.5" thickBot="1">
      <c r="A33" s="16" t="s">
        <v>58</v>
      </c>
      <c r="B33" s="116">
        <v>10000</v>
      </c>
      <c r="C33" s="115"/>
      <c r="D33" s="115"/>
      <c r="E33" s="115"/>
      <c r="F33" s="115"/>
      <c r="G33" s="115"/>
      <c r="H33" s="115"/>
      <c r="I33" s="115"/>
      <c r="J33" s="115"/>
      <c r="K33" s="115"/>
      <c r="L33" s="115"/>
      <c r="M33" s="115"/>
      <c r="N33" s="115"/>
      <c r="O33" s="115"/>
      <c r="P33" s="115"/>
      <c r="Q33" s="115"/>
      <c r="R33" s="115"/>
      <c r="S33" s="115"/>
    </row>
    <row r="34" spans="1:19" ht="16.5" thickBot="1">
      <c r="A34" s="35" t="s">
        <v>4</v>
      </c>
      <c r="B34" s="117">
        <f>B23</f>
        <v>1.3594</v>
      </c>
      <c r="C34" s="117">
        <f aca="true" t="shared" si="20" ref="C34:R34">B34*C23</f>
        <v>1.0059559999999999</v>
      </c>
      <c r="D34" s="117">
        <f t="shared" si="20"/>
        <v>1.4204098719999998</v>
      </c>
      <c r="E34" s="117">
        <f t="shared" si="20"/>
        <v>1.4915724065871998</v>
      </c>
      <c r="F34" s="117">
        <f t="shared" si="20"/>
        <v>1.5348280063782285</v>
      </c>
      <c r="G34" s="117">
        <f t="shared" si="20"/>
        <v>1.5741196033415112</v>
      </c>
      <c r="H34" s="117">
        <f t="shared" si="20"/>
        <v>2.159377271863885</v>
      </c>
      <c r="I34" s="117">
        <f t="shared" si="20"/>
        <v>2.658625297118815</v>
      </c>
      <c r="J34" s="117">
        <f t="shared" si="20"/>
        <v>3.4692401502103416</v>
      </c>
      <c r="K34" s="117">
        <f t="shared" si="20"/>
        <v>4.812183012356765</v>
      </c>
      <c r="L34" s="117">
        <f t="shared" si="20"/>
        <v>6.406940462651796</v>
      </c>
      <c r="M34" s="117">
        <f t="shared" si="20"/>
        <v>4.969863716878998</v>
      </c>
      <c r="N34" s="117">
        <f t="shared" si="20"/>
        <v>3.955017545892307</v>
      </c>
      <c r="O34" s="117">
        <f t="shared" si="20"/>
        <v>2.851963152342943</v>
      </c>
      <c r="P34" s="117">
        <f t="shared" si="20"/>
        <v>3.7004221901649683</v>
      </c>
      <c r="Q34" s="117">
        <f t="shared" si="20"/>
        <v>3.933548788145361</v>
      </c>
      <c r="R34" s="117">
        <f t="shared" si="20"/>
        <v>4.118425581188193</v>
      </c>
      <c r="S34" s="117">
        <f aca="true" t="shared" si="21" ref="S34:S41">R34*S23</f>
        <v>4.529032611632656</v>
      </c>
    </row>
    <row r="35" spans="1:19" ht="16.5" thickBot="1">
      <c r="A35" s="34" t="s">
        <v>6</v>
      </c>
      <c r="B35" s="117">
        <f aca="true" t="shared" si="22" ref="B35:B41">B24</f>
        <v>1.3148</v>
      </c>
      <c r="C35" s="117">
        <f aca="true" t="shared" si="23" ref="C35:R35">B35*C24</f>
        <v>1.2477452</v>
      </c>
      <c r="D35" s="117">
        <f t="shared" si="23"/>
        <v>1.834185444</v>
      </c>
      <c r="E35" s="117">
        <f t="shared" si="23"/>
        <v>1.9939429961724</v>
      </c>
      <c r="F35" s="117">
        <f t="shared" si="23"/>
        <v>2.2170652174440915</v>
      </c>
      <c r="G35" s="117">
        <f t="shared" si="23"/>
        <v>2.169176608747299</v>
      </c>
      <c r="H35" s="117">
        <f t="shared" si="23"/>
        <v>2.906262820399631</v>
      </c>
      <c r="I35" s="117">
        <f t="shared" si="23"/>
        <v>3.4142775614054863</v>
      </c>
      <c r="J35" s="117">
        <f t="shared" si="23"/>
        <v>4.183855723746283</v>
      </c>
      <c r="K35" s="117">
        <f t="shared" si="23"/>
        <v>4.931092356007369</v>
      </c>
      <c r="L35" s="117">
        <f t="shared" si="23"/>
        <v>7.461235843874751</v>
      </c>
      <c r="M35" s="117">
        <f t="shared" si="23"/>
        <v>6.584540632219468</v>
      </c>
      <c r="N35" s="117">
        <f t="shared" si="23"/>
        <v>5.257097240764024</v>
      </c>
      <c r="O35" s="117">
        <f t="shared" si="23"/>
        <v>3.8161268870706047</v>
      </c>
      <c r="P35" s="117">
        <f t="shared" si="23"/>
        <v>5.44599468053846</v>
      </c>
      <c r="Q35" s="117">
        <f t="shared" si="23"/>
        <v>6.289034657085814</v>
      </c>
      <c r="R35" s="117">
        <f t="shared" si="23"/>
        <v>7.244967924962857</v>
      </c>
      <c r="S35" s="117">
        <f t="shared" si="21"/>
        <v>7.624604244230911</v>
      </c>
    </row>
    <row r="36" spans="1:19" ht="16.5" thickBot="1">
      <c r="A36" s="32" t="s">
        <v>38</v>
      </c>
      <c r="B36" s="117">
        <f t="shared" si="22"/>
        <v>1.2019</v>
      </c>
      <c r="C36" s="117">
        <f aca="true" t="shared" si="24" ref="C36:R36">B36*C25</f>
        <v>0.99252902</v>
      </c>
      <c r="D36" s="117">
        <f t="shared" si="24"/>
        <v>1.50070387824</v>
      </c>
      <c r="E36" s="117">
        <f t="shared" si="24"/>
        <v>1.6173085695792482</v>
      </c>
      <c r="F36" s="117">
        <f t="shared" si="24"/>
        <v>1.8335427253319936</v>
      </c>
      <c r="G36" s="117">
        <f t="shared" si="24"/>
        <v>1.7891709913789593</v>
      </c>
      <c r="H36" s="117">
        <f t="shared" si="24"/>
        <v>2.3438139987064366</v>
      </c>
      <c r="I36" s="117">
        <f t="shared" si="24"/>
        <v>2.607961836360652</v>
      </c>
      <c r="J36" s="117">
        <f t="shared" si="24"/>
        <v>2.945692894169356</v>
      </c>
      <c r="K36" s="117">
        <f t="shared" si="24"/>
        <v>2.982219486057056</v>
      </c>
      <c r="L36" s="117">
        <f t="shared" si="24"/>
        <v>4.267556084547647</v>
      </c>
      <c r="M36" s="117">
        <f t="shared" si="24"/>
        <v>3.3099164991751553</v>
      </c>
      <c r="N36" s="117">
        <f t="shared" si="24"/>
        <v>3.004411206301288</v>
      </c>
      <c r="O36" s="117">
        <f t="shared" si="24"/>
        <v>2.0952763752745183</v>
      </c>
      <c r="P36" s="117">
        <f t="shared" si="24"/>
        <v>3.1123235278327694</v>
      </c>
      <c r="Q36" s="117">
        <f t="shared" si="24"/>
        <v>3.557697024665639</v>
      </c>
      <c r="R36" s="117">
        <f t="shared" si="24"/>
        <v>3.9419283033295285</v>
      </c>
      <c r="S36" s="117">
        <f t="shared" si="21"/>
        <v>4.338092097814147</v>
      </c>
    </row>
    <row r="37" spans="1:19" ht="16.5" thickBot="1">
      <c r="A37" s="41" t="s">
        <v>7</v>
      </c>
      <c r="B37" s="117">
        <f t="shared" si="22"/>
        <v>1.2521</v>
      </c>
      <c r="C37" s="117">
        <f aca="true" t="shared" si="25" ref="C37:R37">B37*C26</f>
        <v>1.1506799</v>
      </c>
      <c r="D37" s="117">
        <f t="shared" si="25"/>
        <v>1.43386222339</v>
      </c>
      <c r="E37" s="117">
        <f t="shared" si="25"/>
        <v>1.6318785964401592</v>
      </c>
      <c r="F37" s="117">
        <f t="shared" si="25"/>
        <v>1.92773818597476</v>
      </c>
      <c r="G37" s="117">
        <f t="shared" si="25"/>
        <v>1.8889906484366672</v>
      </c>
      <c r="H37" s="117">
        <f t="shared" si="25"/>
        <v>2.613418562112129</v>
      </c>
      <c r="I37" s="117">
        <f t="shared" si="25"/>
        <v>3.178962338953194</v>
      </c>
      <c r="J37" s="117">
        <f t="shared" si="25"/>
        <v>4.297321289796927</v>
      </c>
      <c r="K37" s="117">
        <f t="shared" si="25"/>
        <v>4.968992607392186</v>
      </c>
      <c r="L37" s="117">
        <f t="shared" si="25"/>
        <v>5.333716664774772</v>
      </c>
      <c r="M37" s="117">
        <f t="shared" si="25"/>
        <v>5.708143574641961</v>
      </c>
      <c r="N37" s="117">
        <f t="shared" si="25"/>
        <v>6.027228800464448</v>
      </c>
      <c r="O37" s="117">
        <f t="shared" si="25"/>
        <v>5.091802890632366</v>
      </c>
      <c r="P37" s="117">
        <f t="shared" si="25"/>
        <v>6.620871298689265</v>
      </c>
      <c r="Q37" s="117">
        <f t="shared" si="25"/>
        <v>7.712652975843125</v>
      </c>
      <c r="R37" s="117">
        <f t="shared" si="25"/>
        <v>8.198550113321241</v>
      </c>
      <c r="S37" s="117">
        <f t="shared" si="21"/>
        <v>9.724300289410325</v>
      </c>
    </row>
    <row r="38" spans="1:19" ht="16.5" thickBot="1">
      <c r="A38" s="37" t="s">
        <v>8</v>
      </c>
      <c r="B38" s="117">
        <f t="shared" si="22"/>
        <v>1.2269</v>
      </c>
      <c r="C38" s="117">
        <f aca="true" t="shared" si="26" ref="C38:R38">B38*C27</f>
        <v>1.02961448</v>
      </c>
      <c r="D38" s="117">
        <f t="shared" si="26"/>
        <v>1.41983836792</v>
      </c>
      <c r="E38" s="117">
        <f t="shared" si="26"/>
        <v>1.7276593260850561</v>
      </c>
      <c r="F38" s="117">
        <f t="shared" si="26"/>
        <v>1.997519712819542</v>
      </c>
      <c r="G38" s="117">
        <f t="shared" si="26"/>
        <v>1.955172294907768</v>
      </c>
      <c r="H38" s="117">
        <f t="shared" si="26"/>
        <v>2.638113977519051</v>
      </c>
      <c r="I38" s="117">
        <f t="shared" si="26"/>
        <v>3.1725958693644105</v>
      </c>
      <c r="J38" s="117">
        <f t="shared" si="26"/>
        <v>4.262699810078022</v>
      </c>
      <c r="K38" s="117">
        <f t="shared" si="26"/>
        <v>4.479244960429986</v>
      </c>
      <c r="L38" s="117">
        <f t="shared" si="26"/>
        <v>4.0313204643869875</v>
      </c>
      <c r="M38" s="117">
        <f t="shared" si="26"/>
        <v>4.80493086150285</v>
      </c>
      <c r="N38" s="117">
        <f t="shared" si="26"/>
        <v>4.916885750575867</v>
      </c>
      <c r="O38" s="117">
        <f t="shared" si="26"/>
        <v>4.442406275645296</v>
      </c>
      <c r="P38" s="117">
        <f t="shared" si="26"/>
        <v>6.133630344783461</v>
      </c>
      <c r="Q38" s="117">
        <f t="shared" si="26"/>
        <v>7.58791409953162</v>
      </c>
      <c r="R38" s="117">
        <f t="shared" si="26"/>
        <v>8.581930846570263</v>
      </c>
      <c r="S38" s="117">
        <f t="shared" si="21"/>
        <v>9.670977871000028</v>
      </c>
    </row>
    <row r="39" spans="1:19" ht="16.5" thickBot="1">
      <c r="A39" s="43" t="s">
        <v>9</v>
      </c>
      <c r="B39" s="117">
        <f t="shared" si="22"/>
        <v>1.1242</v>
      </c>
      <c r="C39" s="117">
        <f aca="true" t="shared" si="27" ref="C39:R39">B39*C28</f>
        <v>0.87946166</v>
      </c>
      <c r="D39" s="117">
        <f t="shared" si="27"/>
        <v>1.24619717222</v>
      </c>
      <c r="E39" s="117">
        <f t="shared" si="27"/>
        <v>1.6093390282049078</v>
      </c>
      <c r="F39" s="117">
        <f t="shared" si="27"/>
        <v>1.9930054525289578</v>
      </c>
      <c r="G39" s="117">
        <f t="shared" si="27"/>
        <v>1.962113868014759</v>
      </c>
      <c r="H39" s="117">
        <f t="shared" si="27"/>
        <v>2.4673581890285594</v>
      </c>
      <c r="I39" s="117">
        <f t="shared" si="27"/>
        <v>2.9946326340239624</v>
      </c>
      <c r="J39" s="117">
        <f t="shared" si="27"/>
        <v>3.9466263483801804</v>
      </c>
      <c r="K39" s="117">
        <f t="shared" si="27"/>
        <v>3.6920689489096588</v>
      </c>
      <c r="L39" s="117">
        <f t="shared" si="27"/>
        <v>3.6374263284657955</v>
      </c>
      <c r="M39" s="117">
        <f t="shared" si="27"/>
        <v>4.466759531355997</v>
      </c>
      <c r="N39" s="117">
        <f t="shared" si="27"/>
        <v>5.092999217652109</v>
      </c>
      <c r="O39" s="117">
        <f t="shared" si="27"/>
        <v>4.510869407074473</v>
      </c>
      <c r="P39" s="117">
        <f t="shared" si="27"/>
        <v>6.587222595150853</v>
      </c>
      <c r="Q39" s="117">
        <f t="shared" si="27"/>
        <v>8.052879622571917</v>
      </c>
      <c r="R39" s="117">
        <f t="shared" si="27"/>
        <v>8.672951353509953</v>
      </c>
      <c r="S39" s="117">
        <f t="shared" si="21"/>
        <v>10.23755177768315</v>
      </c>
    </row>
    <row r="40" spans="1:19" ht="16.5" thickBot="1">
      <c r="A40" s="39" t="s">
        <v>39</v>
      </c>
      <c r="B40" s="117">
        <f t="shared" si="22"/>
        <v>1.108</v>
      </c>
      <c r="C40" s="117">
        <f aca="true" t="shared" si="28" ref="C40:R40">B40*C29</f>
        <v>0.8509440000000001</v>
      </c>
      <c r="D40" s="117">
        <f t="shared" si="28"/>
        <v>0.9573120000000002</v>
      </c>
      <c r="E40" s="117">
        <f t="shared" si="28"/>
        <v>0.8439662592000001</v>
      </c>
      <c r="F40" s="117">
        <f t="shared" si="28"/>
        <v>1.1219687449804803</v>
      </c>
      <c r="G40" s="117">
        <f t="shared" si="28"/>
        <v>1.212399425825907</v>
      </c>
      <c r="H40" s="117">
        <f t="shared" si="28"/>
        <v>1.3524315595087992</v>
      </c>
      <c r="I40" s="117">
        <f t="shared" si="28"/>
        <v>1.438175720381657</v>
      </c>
      <c r="J40" s="117">
        <f t="shared" si="28"/>
        <v>1.4676583226494808</v>
      </c>
      <c r="K40" s="117">
        <f t="shared" si="28"/>
        <v>1.7661800254763853</v>
      </c>
      <c r="L40" s="117">
        <f t="shared" si="28"/>
        <v>2.248170554428891</v>
      </c>
      <c r="M40" s="117">
        <f t="shared" si="28"/>
        <v>1.9345507620860607</v>
      </c>
      <c r="N40" s="117">
        <f t="shared" si="28"/>
        <v>1.5242325454476073</v>
      </c>
      <c r="O40" s="117">
        <f t="shared" si="28"/>
        <v>1.2856901520850568</v>
      </c>
      <c r="P40" s="117">
        <f t="shared" si="28"/>
        <v>1.7892949846567734</v>
      </c>
      <c r="Q40" s="117">
        <f t="shared" si="28"/>
        <v>2.1596790464807256</v>
      </c>
      <c r="R40" s="117">
        <f t="shared" si="28"/>
        <v>2.464841695748452</v>
      </c>
      <c r="S40" s="117">
        <f t="shared" si="21"/>
        <v>3.0923903914860076</v>
      </c>
    </row>
    <row r="41" spans="1:19" ht="16.5" thickBot="1">
      <c r="A41" s="52" t="s">
        <v>42</v>
      </c>
      <c r="B41" s="117">
        <f t="shared" si="22"/>
        <v>1.0884</v>
      </c>
      <c r="C41" s="117">
        <f aca="true" t="shared" si="29" ref="C41:R41">B41*C30</f>
        <v>0.9213306000000001</v>
      </c>
      <c r="D41" s="117">
        <f t="shared" si="29"/>
        <v>1.2502456242000002</v>
      </c>
      <c r="E41" s="117">
        <f t="shared" si="29"/>
        <v>1.4326564607707801</v>
      </c>
      <c r="F41" s="117">
        <f t="shared" si="29"/>
        <v>1.7141734553122383</v>
      </c>
      <c r="G41" s="117">
        <f t="shared" si="29"/>
        <v>1.7685127538456364</v>
      </c>
      <c r="H41" s="117">
        <f t="shared" si="29"/>
        <v>2.038564651357865</v>
      </c>
      <c r="I41" s="117">
        <f t="shared" si="29"/>
        <v>2.757566403891784</v>
      </c>
      <c r="J41" s="117">
        <f t="shared" si="29"/>
        <v>3.316249357320259</v>
      </c>
      <c r="K41" s="117">
        <f t="shared" si="29"/>
        <v>2.735905719789214</v>
      </c>
      <c r="L41" s="117">
        <f t="shared" si="29"/>
        <v>2.609506875534952</v>
      </c>
      <c r="M41" s="117">
        <f t="shared" si="29"/>
        <v>3.2976338386135193</v>
      </c>
      <c r="N41" s="117">
        <f t="shared" si="29"/>
        <v>3.7569942323323824</v>
      </c>
      <c r="O41" s="117">
        <f t="shared" si="29"/>
        <v>3.9005114120074795</v>
      </c>
      <c r="P41" s="117">
        <f t="shared" si="29"/>
        <v>5.348771299285857</v>
      </c>
      <c r="Q41" s="117">
        <f t="shared" si="29"/>
        <v>7.037913275600331</v>
      </c>
      <c r="R41" s="117">
        <f t="shared" si="29"/>
        <v>8.156941486420784</v>
      </c>
      <c r="S41" s="117">
        <f t="shared" si="21"/>
        <v>11.270446051787598</v>
      </c>
    </row>
    <row r="42" spans="1:19" ht="16.5" thickBot="1">
      <c r="A42" s="119" t="s">
        <v>56</v>
      </c>
      <c r="B42" s="117">
        <f>SUM(B34:B41)</f>
        <v>9.6757</v>
      </c>
      <c r="C42" s="117">
        <f aca="true" t="shared" si="30" ref="C42:S42">SUM(C34:C41)</f>
        <v>8.07826086</v>
      </c>
      <c r="D42" s="117">
        <f t="shared" si="30"/>
        <v>11.06275458197</v>
      </c>
      <c r="E42" s="117">
        <f t="shared" si="30"/>
        <v>12.34832364303975</v>
      </c>
      <c r="F42" s="117">
        <f t="shared" si="30"/>
        <v>14.33984150077029</v>
      </c>
      <c r="G42" s="117">
        <f t="shared" si="30"/>
        <v>14.319656194498508</v>
      </c>
      <c r="H42" s="117">
        <f t="shared" si="30"/>
        <v>18.519341030496356</v>
      </c>
      <c r="I42" s="117">
        <f t="shared" si="30"/>
        <v>22.22279766149996</v>
      </c>
      <c r="J42" s="117">
        <f t="shared" si="30"/>
        <v>27.88934389635085</v>
      </c>
      <c r="K42" s="117">
        <f t="shared" si="30"/>
        <v>30.367887116418615</v>
      </c>
      <c r="L42" s="117">
        <f t="shared" si="30"/>
        <v>35.99587327866559</v>
      </c>
      <c r="M42" s="117">
        <f t="shared" si="30"/>
        <v>35.07633941647401</v>
      </c>
      <c r="N42" s="117">
        <f t="shared" si="30"/>
        <v>33.534866539430034</v>
      </c>
      <c r="O42" s="117">
        <f t="shared" si="30"/>
        <v>27.994646552132735</v>
      </c>
      <c r="P42" s="117">
        <f t="shared" si="30"/>
        <v>38.73853092110241</v>
      </c>
      <c r="Q42" s="117">
        <f t="shared" si="30"/>
        <v>46.33131948992453</v>
      </c>
      <c r="R42" s="117">
        <f t="shared" si="30"/>
        <v>51.38053730505127</v>
      </c>
      <c r="S42" s="117">
        <f t="shared" si="30"/>
        <v>60.48739533504482</v>
      </c>
    </row>
    <row r="43" spans="2:19" ht="12.75">
      <c r="B43" s="117"/>
      <c r="C43" s="117"/>
      <c r="D43" s="117"/>
      <c r="E43" s="117"/>
      <c r="F43" s="117"/>
      <c r="G43" s="117"/>
      <c r="H43" s="117"/>
      <c r="I43" s="117"/>
      <c r="J43" s="117"/>
      <c r="K43" s="117"/>
      <c r="L43" s="117"/>
      <c r="M43" s="117"/>
      <c r="N43" s="117"/>
      <c r="O43" s="117"/>
      <c r="P43" s="117"/>
      <c r="Q43" s="117"/>
      <c r="R43" s="117"/>
      <c r="S43" s="117"/>
    </row>
    <row r="44" ht="16.5" thickBot="1">
      <c r="A44" s="16" t="s">
        <v>60</v>
      </c>
    </row>
    <row r="45" spans="1:19" ht="16.5" thickBot="1">
      <c r="A45" s="35" t="s">
        <v>4</v>
      </c>
      <c r="B45" s="118">
        <f aca="true" t="shared" si="31" ref="B45:R45">$B$33*B34</f>
        <v>13594</v>
      </c>
      <c r="C45" s="118">
        <f t="shared" si="31"/>
        <v>10059.559999999998</v>
      </c>
      <c r="D45" s="118">
        <f t="shared" si="31"/>
        <v>14204.098719999998</v>
      </c>
      <c r="E45" s="118">
        <f t="shared" si="31"/>
        <v>14915.724065871998</v>
      </c>
      <c r="F45" s="118">
        <f t="shared" si="31"/>
        <v>15348.280063782284</v>
      </c>
      <c r="G45" s="118">
        <f t="shared" si="31"/>
        <v>15741.196033415112</v>
      </c>
      <c r="H45" s="118">
        <f t="shared" si="31"/>
        <v>21593.772718638847</v>
      </c>
      <c r="I45" s="118">
        <f t="shared" si="31"/>
        <v>26586.25297118815</v>
      </c>
      <c r="J45" s="118">
        <f t="shared" si="31"/>
        <v>34692.401502103414</v>
      </c>
      <c r="K45" s="118">
        <f t="shared" si="31"/>
        <v>48121.83012356765</v>
      </c>
      <c r="L45" s="118">
        <f t="shared" si="31"/>
        <v>64069.40462651796</v>
      </c>
      <c r="M45" s="118">
        <f t="shared" si="31"/>
        <v>49698.63716878998</v>
      </c>
      <c r="N45" s="118">
        <f t="shared" si="31"/>
        <v>39550.17545892307</v>
      </c>
      <c r="O45" s="118">
        <f t="shared" si="31"/>
        <v>28519.63152342943</v>
      </c>
      <c r="P45" s="118">
        <f t="shared" si="31"/>
        <v>37004.22190164968</v>
      </c>
      <c r="Q45" s="118">
        <f t="shared" si="31"/>
        <v>39335.48788145361</v>
      </c>
      <c r="R45" s="118">
        <f t="shared" si="31"/>
        <v>41184.25581188193</v>
      </c>
      <c r="S45" s="118">
        <f aca="true" t="shared" si="32" ref="S45:S53">$B$33*S34</f>
        <v>45290.326116326556</v>
      </c>
    </row>
    <row r="46" spans="1:19" ht="16.5" thickBot="1">
      <c r="A46" s="34" t="s">
        <v>6</v>
      </c>
      <c r="B46" s="118">
        <f aca="true" t="shared" si="33" ref="B46:R46">$B$33*B35</f>
        <v>13148</v>
      </c>
      <c r="C46" s="118">
        <f t="shared" si="33"/>
        <v>12477.452</v>
      </c>
      <c r="D46" s="118">
        <f t="shared" si="33"/>
        <v>18341.85444</v>
      </c>
      <c r="E46" s="118">
        <f t="shared" si="33"/>
        <v>19939.429961724</v>
      </c>
      <c r="F46" s="118">
        <f t="shared" si="33"/>
        <v>22170.652174440915</v>
      </c>
      <c r="G46" s="118">
        <f t="shared" si="33"/>
        <v>21691.76608747299</v>
      </c>
      <c r="H46" s="118">
        <f t="shared" si="33"/>
        <v>29062.628203996308</v>
      </c>
      <c r="I46" s="118">
        <f t="shared" si="33"/>
        <v>34142.775614054866</v>
      </c>
      <c r="J46" s="118">
        <f t="shared" si="33"/>
        <v>41838.557237462825</v>
      </c>
      <c r="K46" s="118">
        <f t="shared" si="33"/>
        <v>49310.92356007369</v>
      </c>
      <c r="L46" s="118">
        <f t="shared" si="33"/>
        <v>74612.35843874751</v>
      </c>
      <c r="M46" s="118">
        <f t="shared" si="33"/>
        <v>65845.40632219469</v>
      </c>
      <c r="N46" s="118">
        <f t="shared" si="33"/>
        <v>52570.972407640234</v>
      </c>
      <c r="O46" s="118">
        <f t="shared" si="33"/>
        <v>38161.268870706044</v>
      </c>
      <c r="P46" s="118">
        <f t="shared" si="33"/>
        <v>54459.9468053846</v>
      </c>
      <c r="Q46" s="118">
        <f t="shared" si="33"/>
        <v>62890.34657085814</v>
      </c>
      <c r="R46" s="118">
        <f t="shared" si="33"/>
        <v>72449.67924962858</v>
      </c>
      <c r="S46" s="118">
        <f t="shared" si="32"/>
        <v>76246.0424423091</v>
      </c>
    </row>
    <row r="47" spans="1:19" ht="16.5" thickBot="1">
      <c r="A47" s="32" t="s">
        <v>38</v>
      </c>
      <c r="B47" s="118">
        <f aca="true" t="shared" si="34" ref="B47:R47">$B$33*B36</f>
        <v>12019</v>
      </c>
      <c r="C47" s="118">
        <f t="shared" si="34"/>
        <v>9925.2902</v>
      </c>
      <c r="D47" s="118">
        <f t="shared" si="34"/>
        <v>15007.038782399999</v>
      </c>
      <c r="E47" s="118">
        <f t="shared" si="34"/>
        <v>16173.085695792483</v>
      </c>
      <c r="F47" s="118">
        <f t="shared" si="34"/>
        <v>18335.427253319936</v>
      </c>
      <c r="G47" s="118">
        <f t="shared" si="34"/>
        <v>17891.709913789593</v>
      </c>
      <c r="H47" s="118">
        <f t="shared" si="34"/>
        <v>23438.139987064365</v>
      </c>
      <c r="I47" s="118">
        <f t="shared" si="34"/>
        <v>26079.618363606518</v>
      </c>
      <c r="J47" s="118">
        <f t="shared" si="34"/>
        <v>29456.92894169356</v>
      </c>
      <c r="K47" s="118">
        <f t="shared" si="34"/>
        <v>29822.194860570562</v>
      </c>
      <c r="L47" s="118">
        <f t="shared" si="34"/>
        <v>42675.56084547647</v>
      </c>
      <c r="M47" s="118">
        <f t="shared" si="34"/>
        <v>33099.16499175155</v>
      </c>
      <c r="N47" s="118">
        <f t="shared" si="34"/>
        <v>30044.112063012883</v>
      </c>
      <c r="O47" s="118">
        <f t="shared" si="34"/>
        <v>20952.763752745184</v>
      </c>
      <c r="P47" s="118">
        <f t="shared" si="34"/>
        <v>31123.235278327695</v>
      </c>
      <c r="Q47" s="118">
        <f t="shared" si="34"/>
        <v>35576.97024665639</v>
      </c>
      <c r="R47" s="118">
        <f t="shared" si="34"/>
        <v>39419.28303329529</v>
      </c>
      <c r="S47" s="118">
        <f t="shared" si="32"/>
        <v>43380.92097814147</v>
      </c>
    </row>
    <row r="48" spans="1:19" ht="16.5" thickBot="1">
      <c r="A48" s="41" t="s">
        <v>7</v>
      </c>
      <c r="B48" s="118">
        <f aca="true" t="shared" si="35" ref="B48:R48">$B$33*B37</f>
        <v>12521</v>
      </c>
      <c r="C48" s="118">
        <f t="shared" si="35"/>
        <v>11506.799</v>
      </c>
      <c r="D48" s="118">
        <f t="shared" si="35"/>
        <v>14338.6222339</v>
      </c>
      <c r="E48" s="118">
        <f t="shared" si="35"/>
        <v>16318.785964401592</v>
      </c>
      <c r="F48" s="118">
        <f t="shared" si="35"/>
        <v>19277.3818597476</v>
      </c>
      <c r="G48" s="118">
        <f t="shared" si="35"/>
        <v>18889.90648436667</v>
      </c>
      <c r="H48" s="118">
        <f t="shared" si="35"/>
        <v>26134.18562112129</v>
      </c>
      <c r="I48" s="118">
        <f t="shared" si="35"/>
        <v>31789.62338953194</v>
      </c>
      <c r="J48" s="118">
        <f t="shared" si="35"/>
        <v>42973.21289796927</v>
      </c>
      <c r="K48" s="118">
        <f t="shared" si="35"/>
        <v>49689.926073921866</v>
      </c>
      <c r="L48" s="118">
        <f t="shared" si="35"/>
        <v>53337.16664774772</v>
      </c>
      <c r="M48" s="118">
        <f t="shared" si="35"/>
        <v>57081.435746419615</v>
      </c>
      <c r="N48" s="118">
        <f t="shared" si="35"/>
        <v>60272.28800464448</v>
      </c>
      <c r="O48" s="118">
        <f t="shared" si="35"/>
        <v>50918.028906323656</v>
      </c>
      <c r="P48" s="118">
        <f t="shared" si="35"/>
        <v>66208.71298689264</v>
      </c>
      <c r="Q48" s="118">
        <f t="shared" si="35"/>
        <v>77126.52975843125</v>
      </c>
      <c r="R48" s="118">
        <f t="shared" si="35"/>
        <v>81985.50113321241</v>
      </c>
      <c r="S48" s="118">
        <f t="shared" si="32"/>
        <v>97243.00289410325</v>
      </c>
    </row>
    <row r="49" spans="1:19" ht="16.5" thickBot="1">
      <c r="A49" s="37" t="s">
        <v>8</v>
      </c>
      <c r="B49" s="118">
        <f aca="true" t="shared" si="36" ref="B49:R49">$B$33*B38</f>
        <v>12269.000000000002</v>
      </c>
      <c r="C49" s="118">
        <f t="shared" si="36"/>
        <v>10296.1448</v>
      </c>
      <c r="D49" s="118">
        <f t="shared" si="36"/>
        <v>14198.3836792</v>
      </c>
      <c r="E49" s="118">
        <f t="shared" si="36"/>
        <v>17276.59326085056</v>
      </c>
      <c r="F49" s="118">
        <f t="shared" si="36"/>
        <v>19975.19712819542</v>
      </c>
      <c r="G49" s="118">
        <f t="shared" si="36"/>
        <v>19551.722949077677</v>
      </c>
      <c r="H49" s="118">
        <f t="shared" si="36"/>
        <v>26381.139775190513</v>
      </c>
      <c r="I49" s="118">
        <f t="shared" si="36"/>
        <v>31725.958693644105</v>
      </c>
      <c r="J49" s="118">
        <f t="shared" si="36"/>
        <v>42626.99810078022</v>
      </c>
      <c r="K49" s="118">
        <f t="shared" si="36"/>
        <v>44792.44960429986</v>
      </c>
      <c r="L49" s="118">
        <f t="shared" si="36"/>
        <v>40313.204643869874</v>
      </c>
      <c r="M49" s="118">
        <f t="shared" si="36"/>
        <v>48049.3086150285</v>
      </c>
      <c r="N49" s="118">
        <f t="shared" si="36"/>
        <v>49168.85750575867</v>
      </c>
      <c r="O49" s="118">
        <f t="shared" si="36"/>
        <v>44424.06275645296</v>
      </c>
      <c r="P49" s="118">
        <f t="shared" si="36"/>
        <v>61336.30344783461</v>
      </c>
      <c r="Q49" s="118">
        <f t="shared" si="36"/>
        <v>75879.1409953162</v>
      </c>
      <c r="R49" s="118">
        <f t="shared" si="36"/>
        <v>85819.30846570262</v>
      </c>
      <c r="S49" s="118">
        <f t="shared" si="32"/>
        <v>96709.77871000029</v>
      </c>
    </row>
    <row r="50" spans="1:19" ht="16.5" thickBot="1">
      <c r="A50" s="43" t="s">
        <v>9</v>
      </c>
      <c r="B50" s="118">
        <f aca="true" t="shared" si="37" ref="B50:R50">$B$33*B39</f>
        <v>11242</v>
      </c>
      <c r="C50" s="118">
        <f t="shared" si="37"/>
        <v>8794.616600000001</v>
      </c>
      <c r="D50" s="118">
        <f t="shared" si="37"/>
        <v>12461.9717222</v>
      </c>
      <c r="E50" s="118">
        <f t="shared" si="37"/>
        <v>16093.390282049078</v>
      </c>
      <c r="F50" s="118">
        <f t="shared" si="37"/>
        <v>19930.05452528958</v>
      </c>
      <c r="G50" s="118">
        <f t="shared" si="37"/>
        <v>19621.13868014759</v>
      </c>
      <c r="H50" s="118">
        <f t="shared" si="37"/>
        <v>24673.581890285594</v>
      </c>
      <c r="I50" s="118">
        <f t="shared" si="37"/>
        <v>29946.326340239622</v>
      </c>
      <c r="J50" s="118">
        <f t="shared" si="37"/>
        <v>39466.263483801806</v>
      </c>
      <c r="K50" s="118">
        <f t="shared" si="37"/>
        <v>36920.689489096585</v>
      </c>
      <c r="L50" s="118">
        <f t="shared" si="37"/>
        <v>36374.26328465796</v>
      </c>
      <c r="M50" s="118">
        <f t="shared" si="37"/>
        <v>44667.59531355997</v>
      </c>
      <c r="N50" s="118">
        <f t="shared" si="37"/>
        <v>50929.99217652109</v>
      </c>
      <c r="O50" s="118">
        <f t="shared" si="37"/>
        <v>45108.694070744736</v>
      </c>
      <c r="P50" s="118">
        <f t="shared" si="37"/>
        <v>65872.22595150853</v>
      </c>
      <c r="Q50" s="118">
        <f t="shared" si="37"/>
        <v>80528.79622571917</v>
      </c>
      <c r="R50" s="118">
        <f t="shared" si="37"/>
        <v>86729.51353509953</v>
      </c>
      <c r="S50" s="118">
        <f t="shared" si="32"/>
        <v>102375.5177768315</v>
      </c>
    </row>
    <row r="51" spans="1:19" ht="16.5" thickBot="1">
      <c r="A51" s="39" t="s">
        <v>39</v>
      </c>
      <c r="B51" s="118">
        <f aca="true" t="shared" si="38" ref="B51:R51">$B$33*B40</f>
        <v>11080.000000000002</v>
      </c>
      <c r="C51" s="118">
        <f t="shared" si="38"/>
        <v>8509.440000000002</v>
      </c>
      <c r="D51" s="118">
        <f t="shared" si="38"/>
        <v>9573.12</v>
      </c>
      <c r="E51" s="118">
        <f t="shared" si="38"/>
        <v>8439.662592</v>
      </c>
      <c r="F51" s="118">
        <f t="shared" si="38"/>
        <v>11219.687449804802</v>
      </c>
      <c r="G51" s="118">
        <f t="shared" si="38"/>
        <v>12123.99425825907</v>
      </c>
      <c r="H51" s="118">
        <f t="shared" si="38"/>
        <v>13524.315595087992</v>
      </c>
      <c r="I51" s="118">
        <f t="shared" si="38"/>
        <v>14381.757203816569</v>
      </c>
      <c r="J51" s="118">
        <f t="shared" si="38"/>
        <v>14676.583226494808</v>
      </c>
      <c r="K51" s="118">
        <f t="shared" si="38"/>
        <v>17661.800254763853</v>
      </c>
      <c r="L51" s="118">
        <f t="shared" si="38"/>
        <v>22481.705544288907</v>
      </c>
      <c r="M51" s="118">
        <f t="shared" si="38"/>
        <v>19345.507620860608</v>
      </c>
      <c r="N51" s="118">
        <f t="shared" si="38"/>
        <v>15242.325454476073</v>
      </c>
      <c r="O51" s="118">
        <f t="shared" si="38"/>
        <v>12856.901520850568</v>
      </c>
      <c r="P51" s="118">
        <f t="shared" si="38"/>
        <v>17892.949846567735</v>
      </c>
      <c r="Q51" s="118">
        <f t="shared" si="38"/>
        <v>21596.790464807254</v>
      </c>
      <c r="R51" s="118">
        <f t="shared" si="38"/>
        <v>24648.416957484522</v>
      </c>
      <c r="S51" s="118">
        <f t="shared" si="32"/>
        <v>30923.903914860075</v>
      </c>
    </row>
    <row r="52" spans="1:19" ht="16.5" thickBot="1">
      <c r="A52" s="52" t="s">
        <v>42</v>
      </c>
      <c r="B52" s="118">
        <f aca="true" t="shared" si="39" ref="B52:R52">$B$33*B41</f>
        <v>10884</v>
      </c>
      <c r="C52" s="118">
        <f t="shared" si="39"/>
        <v>9213.306</v>
      </c>
      <c r="D52" s="118">
        <f t="shared" si="39"/>
        <v>12502.456242000002</v>
      </c>
      <c r="E52" s="118">
        <f t="shared" si="39"/>
        <v>14326.564607707802</v>
      </c>
      <c r="F52" s="118">
        <f t="shared" si="39"/>
        <v>17141.734553122384</v>
      </c>
      <c r="G52" s="118">
        <f t="shared" si="39"/>
        <v>17685.127538456363</v>
      </c>
      <c r="H52" s="118">
        <f t="shared" si="39"/>
        <v>20385.64651357865</v>
      </c>
      <c r="I52" s="118">
        <f t="shared" si="39"/>
        <v>27575.664038917843</v>
      </c>
      <c r="J52" s="118">
        <f t="shared" si="39"/>
        <v>33162.49357320259</v>
      </c>
      <c r="K52" s="118">
        <f t="shared" si="39"/>
        <v>27359.05719789214</v>
      </c>
      <c r="L52" s="118">
        <f t="shared" si="39"/>
        <v>26095.068755349523</v>
      </c>
      <c r="M52" s="118">
        <f t="shared" si="39"/>
        <v>32976.33838613519</v>
      </c>
      <c r="N52" s="118">
        <f t="shared" si="39"/>
        <v>37569.94232332383</v>
      </c>
      <c r="O52" s="118">
        <f t="shared" si="39"/>
        <v>39005.114120074795</v>
      </c>
      <c r="P52" s="118">
        <f t="shared" si="39"/>
        <v>53487.712992858564</v>
      </c>
      <c r="Q52" s="118">
        <f t="shared" si="39"/>
        <v>70379.13275600331</v>
      </c>
      <c r="R52" s="118">
        <f t="shared" si="39"/>
        <v>81569.41486420784</v>
      </c>
      <c r="S52" s="118">
        <f t="shared" si="32"/>
        <v>112704.46051787598</v>
      </c>
    </row>
    <row r="53" spans="1:19" ht="16.5" thickBot="1">
      <c r="A53" s="119" t="s">
        <v>56</v>
      </c>
      <c r="B53" s="118">
        <f aca="true" t="shared" si="40" ref="B53:R53">$B$33*B42</f>
        <v>96757.00000000001</v>
      </c>
      <c r="C53" s="118">
        <f t="shared" si="40"/>
        <v>80782.6086</v>
      </c>
      <c r="D53" s="118">
        <f t="shared" si="40"/>
        <v>110627.5458197</v>
      </c>
      <c r="E53" s="118">
        <f t="shared" si="40"/>
        <v>123483.2364303975</v>
      </c>
      <c r="F53" s="118">
        <f t="shared" si="40"/>
        <v>143398.41500770292</v>
      </c>
      <c r="G53" s="118">
        <f t="shared" si="40"/>
        <v>143196.5619449851</v>
      </c>
      <c r="H53" s="118">
        <f t="shared" si="40"/>
        <v>185193.41030496356</v>
      </c>
      <c r="I53" s="118">
        <f t="shared" si="40"/>
        <v>222227.9766149996</v>
      </c>
      <c r="J53" s="118">
        <f t="shared" si="40"/>
        <v>278893.4389635085</v>
      </c>
      <c r="K53" s="118">
        <f t="shared" si="40"/>
        <v>303678.87116418616</v>
      </c>
      <c r="L53" s="118">
        <f t="shared" si="40"/>
        <v>359958.7327866559</v>
      </c>
      <c r="M53" s="118">
        <f t="shared" si="40"/>
        <v>350763.3941647401</v>
      </c>
      <c r="N53" s="118">
        <f t="shared" si="40"/>
        <v>335348.66539430036</v>
      </c>
      <c r="O53" s="118">
        <f t="shared" si="40"/>
        <v>279946.46552132734</v>
      </c>
      <c r="P53" s="118">
        <f t="shared" si="40"/>
        <v>387385.3092110241</v>
      </c>
      <c r="Q53" s="118">
        <f t="shared" si="40"/>
        <v>463313.19489924534</v>
      </c>
      <c r="R53" s="118">
        <f t="shared" si="40"/>
        <v>513805.3730505127</v>
      </c>
      <c r="S53" s="118">
        <f t="shared" si="32"/>
        <v>604873.9533504483</v>
      </c>
    </row>
    <row r="55" spans="1:19" ht="16.5" thickBot="1">
      <c r="A55" s="16" t="s">
        <v>59</v>
      </c>
      <c r="B55" s="16">
        <f>B1-$A$1</f>
        <v>1</v>
      </c>
      <c r="C55" s="16">
        <f aca="true" t="shared" si="41" ref="C55:R55">C1-$A$1</f>
        <v>2</v>
      </c>
      <c r="D55" s="16">
        <f t="shared" si="41"/>
        <v>3</v>
      </c>
      <c r="E55" s="16">
        <f t="shared" si="41"/>
        <v>4</v>
      </c>
      <c r="F55" s="16">
        <f t="shared" si="41"/>
        <v>5</v>
      </c>
      <c r="G55" s="16">
        <f t="shared" si="41"/>
        <v>6</v>
      </c>
      <c r="H55" s="16">
        <f t="shared" si="41"/>
        <v>7</v>
      </c>
      <c r="I55" s="16">
        <f t="shared" si="41"/>
        <v>8</v>
      </c>
      <c r="J55" s="16">
        <f t="shared" si="41"/>
        <v>9</v>
      </c>
      <c r="K55" s="16">
        <f t="shared" si="41"/>
        <v>10</v>
      </c>
      <c r="L55" s="16">
        <f t="shared" si="41"/>
        <v>11</v>
      </c>
      <c r="M55" s="16">
        <f t="shared" si="41"/>
        <v>12</v>
      </c>
      <c r="N55" s="16">
        <f t="shared" si="41"/>
        <v>13</v>
      </c>
      <c r="O55" s="16">
        <f t="shared" si="41"/>
        <v>14</v>
      </c>
      <c r="P55" s="16">
        <f t="shared" si="41"/>
        <v>15</v>
      </c>
      <c r="Q55" s="16">
        <f t="shared" si="41"/>
        <v>16</v>
      </c>
      <c r="R55" s="16">
        <f t="shared" si="41"/>
        <v>17</v>
      </c>
      <c r="S55" s="16">
        <f>S1-$A$1</f>
        <v>18</v>
      </c>
    </row>
    <row r="56" spans="1:19" ht="16.5" thickBot="1">
      <c r="A56" s="35" t="s">
        <v>4</v>
      </c>
      <c r="B56" s="68">
        <f>RATE(B1-$A$1,0,-$B$33,B45)</f>
        <v>0.3593999999999999</v>
      </c>
      <c r="C56" s="68">
        <f aca="true" t="shared" si="42" ref="C56:R56">RATE(C1-$A$1,0,-$B$33,C45)</f>
        <v>0.002973578914220457</v>
      </c>
      <c r="D56" s="68">
        <f t="shared" si="42"/>
        <v>0.12409899796304498</v>
      </c>
      <c r="E56" s="68">
        <f t="shared" si="42"/>
        <v>0.10512418965965899</v>
      </c>
      <c r="F56" s="68">
        <f t="shared" si="42"/>
        <v>0.08946163933385225</v>
      </c>
      <c r="G56" s="68">
        <f t="shared" si="42"/>
        <v>0.07854835615299627</v>
      </c>
      <c r="H56" s="68">
        <f t="shared" si="42"/>
        <v>0.11624934740960073</v>
      </c>
      <c r="I56" s="68">
        <f t="shared" si="42"/>
        <v>0.13000962224732968</v>
      </c>
      <c r="J56" s="68">
        <f t="shared" si="42"/>
        <v>0.14822246721922</v>
      </c>
      <c r="K56" s="68">
        <f t="shared" si="42"/>
        <v>0.17013026824044164</v>
      </c>
      <c r="L56" s="68">
        <f t="shared" si="42"/>
        <v>0.18394596228776972</v>
      </c>
      <c r="M56" s="68">
        <f t="shared" si="42"/>
        <v>0.14295388095944864</v>
      </c>
      <c r="N56" s="68">
        <f t="shared" si="42"/>
        <v>0.11156405246945589</v>
      </c>
      <c r="O56" s="68">
        <f t="shared" si="42"/>
        <v>0.07773076214183973</v>
      </c>
      <c r="P56" s="68">
        <f t="shared" si="42"/>
        <v>0.09114739065956702</v>
      </c>
      <c r="Q56" s="68">
        <f t="shared" si="42"/>
        <v>0.08936654520797403</v>
      </c>
      <c r="R56" s="68">
        <f t="shared" si="42"/>
        <v>0.08682760341784149</v>
      </c>
      <c r="S56" s="68">
        <f>RATE(S1-$A$1,0,-$B$33,S45)</f>
        <v>0.0875387672578739</v>
      </c>
    </row>
    <row r="57" spans="1:19" ht="16.5" thickBot="1">
      <c r="A57" s="34" t="s">
        <v>6</v>
      </c>
      <c r="B57" s="68">
        <f>RATE(B1-$A$1,0,-$B$33,B46)</f>
        <v>0.3148</v>
      </c>
      <c r="C57" s="68">
        <f aca="true" t="shared" si="43" ref="C57:R57">RATE(C1-$A$1,0,-$B$33,C46)</f>
        <v>0.11702515638637254</v>
      </c>
      <c r="D57" s="68">
        <f t="shared" si="43"/>
        <v>0.22409299936251265</v>
      </c>
      <c r="E57" s="68">
        <f t="shared" si="43"/>
        <v>0.1883057116359413</v>
      </c>
      <c r="F57" s="68">
        <f t="shared" si="43"/>
        <v>0.17261567060009733</v>
      </c>
      <c r="G57" s="68">
        <f t="shared" si="43"/>
        <v>0.13775604622518414</v>
      </c>
      <c r="H57" s="68">
        <f t="shared" si="43"/>
        <v>0.1646373075133953</v>
      </c>
      <c r="I57" s="68">
        <f t="shared" si="43"/>
        <v>0.16590282065792739</v>
      </c>
      <c r="J57" s="68">
        <f t="shared" si="43"/>
        <v>0.17236832929552132</v>
      </c>
      <c r="K57" s="68">
        <f t="shared" si="43"/>
        <v>0.1729900107773657</v>
      </c>
      <c r="L57" s="68">
        <f t="shared" si="43"/>
        <v>0.20045651646665075</v>
      </c>
      <c r="M57" s="68">
        <f t="shared" si="43"/>
        <v>0.1700662616401761</v>
      </c>
      <c r="N57" s="68">
        <f t="shared" si="43"/>
        <v>0.13616655462924399</v>
      </c>
      <c r="O57" s="68">
        <f t="shared" si="43"/>
        <v>0.10038455547610116</v>
      </c>
      <c r="P57" s="68">
        <f t="shared" si="43"/>
        <v>0.11962300709076121</v>
      </c>
      <c r="Q57" s="68">
        <f t="shared" si="43"/>
        <v>0.12178983210832116</v>
      </c>
      <c r="R57" s="68">
        <f t="shared" si="43"/>
        <v>0.12354476467617868</v>
      </c>
      <c r="S57" s="68">
        <f>RATE(S1-$A$1,0,-$B$33,S46)</f>
        <v>0.11946900220372508</v>
      </c>
    </row>
    <row r="58" spans="1:19" ht="16.5" thickBot="1">
      <c r="A58" s="32" t="s">
        <v>38</v>
      </c>
      <c r="B58" s="68">
        <f>RATE(B1-$A$1,0,-$B$33,B47)</f>
        <v>0.20189999999999989</v>
      </c>
      <c r="C58" s="68">
        <f aca="true" t="shared" si="44" ref="C58:R58">RATE(C1-$A$1,0,-$B$33,C47)</f>
        <v>-0.0037424931274043956</v>
      </c>
      <c r="D58" s="68">
        <f t="shared" si="44"/>
        <v>0.14489326776389608</v>
      </c>
      <c r="E58" s="68">
        <f t="shared" si="44"/>
        <v>0.12771205230177737</v>
      </c>
      <c r="F58" s="68">
        <f t="shared" si="44"/>
        <v>0.1289071063212139</v>
      </c>
      <c r="G58" s="68">
        <f t="shared" si="44"/>
        <v>0.10181490064684282</v>
      </c>
      <c r="H58" s="68">
        <f t="shared" si="44"/>
        <v>0.1293957871332577</v>
      </c>
      <c r="I58" s="68">
        <f t="shared" si="44"/>
        <v>0.1272951901189372</v>
      </c>
      <c r="J58" s="68">
        <f t="shared" si="44"/>
        <v>0.12753995630547602</v>
      </c>
      <c r="K58" s="68">
        <f t="shared" si="44"/>
        <v>0.11545989496766196</v>
      </c>
      <c r="L58" s="68">
        <f t="shared" si="44"/>
        <v>0.14100887267556345</v>
      </c>
      <c r="M58" s="68">
        <f t="shared" si="44"/>
        <v>0.10488756668479214</v>
      </c>
      <c r="N58" s="68">
        <f t="shared" si="44"/>
        <v>0.08830524197093477</v>
      </c>
      <c r="O58" s="68">
        <f t="shared" si="44"/>
        <v>0.05425533715583627</v>
      </c>
      <c r="P58" s="68">
        <f t="shared" si="44"/>
        <v>0.07862955429538529</v>
      </c>
      <c r="Q58" s="68">
        <f t="shared" si="44"/>
        <v>0.08255023850487056</v>
      </c>
      <c r="R58" s="68">
        <f t="shared" si="44"/>
        <v>0.08403096900741118</v>
      </c>
      <c r="S58" s="68">
        <f>RATE(S1-$A$1,0,-$B$33,S47)</f>
        <v>0.08493941509839108</v>
      </c>
    </row>
    <row r="59" spans="1:19" ht="16.5" thickBot="1">
      <c r="A59" s="41" t="s">
        <v>7</v>
      </c>
      <c r="B59" s="68">
        <f>RATE(B1-$A$1,0,-$B$33,B48)</f>
        <v>0.2521</v>
      </c>
      <c r="C59" s="68">
        <f aca="true" t="shared" si="45" ref="C59:R59">RATE(C1-$A$1,0,-$B$33,C48)</f>
        <v>0.07269748764505066</v>
      </c>
      <c r="D59" s="68">
        <f t="shared" si="45"/>
        <v>0.12763654169543584</v>
      </c>
      <c r="E59" s="68">
        <f t="shared" si="45"/>
        <v>0.1302433528973413</v>
      </c>
      <c r="F59" s="68">
        <f t="shared" si="45"/>
        <v>0.14027501924378377</v>
      </c>
      <c r="G59" s="68">
        <f t="shared" si="45"/>
        <v>0.1118297775062187</v>
      </c>
      <c r="H59" s="68">
        <f t="shared" si="45"/>
        <v>0.14710000492924089</v>
      </c>
      <c r="I59" s="68">
        <f t="shared" si="45"/>
        <v>0.15554183407169575</v>
      </c>
      <c r="J59" s="68">
        <f t="shared" si="45"/>
        <v>0.17585917948319207</v>
      </c>
      <c r="K59" s="68">
        <f t="shared" si="45"/>
        <v>0.17388846482811773</v>
      </c>
      <c r="L59" s="68">
        <f t="shared" si="45"/>
        <v>0.16437703443198973</v>
      </c>
      <c r="M59" s="68">
        <f t="shared" si="45"/>
        <v>0.1562220320377923</v>
      </c>
      <c r="N59" s="68">
        <f t="shared" si="45"/>
        <v>0.14817755313828715</v>
      </c>
      <c r="O59" s="68">
        <f t="shared" si="45"/>
        <v>0.12328724476132996</v>
      </c>
      <c r="P59" s="68">
        <f t="shared" si="45"/>
        <v>0.13429933217437728</v>
      </c>
      <c r="Q59" s="68">
        <f t="shared" si="45"/>
        <v>0.13618810160361333</v>
      </c>
      <c r="R59" s="68">
        <f t="shared" si="45"/>
        <v>0.1317467045159412</v>
      </c>
      <c r="S59" s="68">
        <f>RATE(S1-$A$1,0,-$B$33,S48)</f>
        <v>0.134699909134139</v>
      </c>
    </row>
    <row r="60" spans="1:19" ht="16.5" thickBot="1">
      <c r="A60" s="37" t="s">
        <v>8</v>
      </c>
      <c r="B60" s="68">
        <f>RATE(B1-$A$1,0,-$B$33,B49)</f>
        <v>0.2269000000000001</v>
      </c>
      <c r="C60" s="68">
        <f aca="true" t="shared" si="46" ref="C60:R60">RATE(C1-$A$1,0,-$B$33,C49)</f>
        <v>0.014699206661757586</v>
      </c>
      <c r="D60" s="68">
        <f t="shared" si="46"/>
        <v>0.12394821675636165</v>
      </c>
      <c r="E60" s="68">
        <f t="shared" si="46"/>
        <v>0.14647483701617517</v>
      </c>
      <c r="F60" s="68">
        <f t="shared" si="46"/>
        <v>0.14841330337954303</v>
      </c>
      <c r="G60" s="68">
        <f t="shared" si="46"/>
        <v>0.11822922682738943</v>
      </c>
      <c r="H60" s="68">
        <f t="shared" si="46"/>
        <v>0.14864226815174988</v>
      </c>
      <c r="I60" s="68">
        <f t="shared" si="46"/>
        <v>0.1552523065850962</v>
      </c>
      <c r="J60" s="68">
        <f t="shared" si="46"/>
        <v>0.17480279794547524</v>
      </c>
      <c r="K60" s="68">
        <f t="shared" si="46"/>
        <v>0.16177086600431087</v>
      </c>
      <c r="L60" s="68">
        <f t="shared" si="46"/>
        <v>0.13511709890125428</v>
      </c>
      <c r="M60" s="68">
        <f t="shared" si="46"/>
        <v>0.13974386171401945</v>
      </c>
      <c r="N60" s="68">
        <f t="shared" si="46"/>
        <v>0.13033436666576176</v>
      </c>
      <c r="O60" s="68">
        <f t="shared" si="46"/>
        <v>0.11239351443504869</v>
      </c>
      <c r="P60" s="68">
        <f t="shared" si="46"/>
        <v>0.12853363291752334</v>
      </c>
      <c r="Q60" s="68">
        <f t="shared" si="46"/>
        <v>0.13503080974532233</v>
      </c>
      <c r="R60" s="68">
        <f t="shared" si="46"/>
        <v>0.1347933061270125</v>
      </c>
      <c r="S60" s="68">
        <f>RATE(S1-$A$1,0,-$B$33,S49)</f>
        <v>0.13435334221959858</v>
      </c>
    </row>
    <row r="61" spans="1:19" ht="16.5" thickBot="1">
      <c r="A61" s="43" t="s">
        <v>9</v>
      </c>
      <c r="B61" s="68">
        <f>RATE(B1-$A$1,0,-$B$33,B50)</f>
        <v>0.12420000000000003</v>
      </c>
      <c r="C61" s="68">
        <f aca="true" t="shared" si="47" ref="C61:R61">RATE(C1-$A$1,0,-$B$33,C50)</f>
        <v>-0.0622038281161417</v>
      </c>
      <c r="D61" s="68">
        <f t="shared" si="47"/>
        <v>0.07612384281310806</v>
      </c>
      <c r="E61" s="68">
        <f t="shared" si="47"/>
        <v>0.12632023329608486</v>
      </c>
      <c r="F61" s="68">
        <f t="shared" si="47"/>
        <v>0.1478937661439961</v>
      </c>
      <c r="G61" s="68">
        <f t="shared" si="47"/>
        <v>0.11888993687770483</v>
      </c>
      <c r="H61" s="68">
        <f t="shared" si="47"/>
        <v>0.13771418155308643</v>
      </c>
      <c r="I61" s="68">
        <f t="shared" si="47"/>
        <v>0.14694592869914255</v>
      </c>
      <c r="J61" s="68">
        <f t="shared" si="47"/>
        <v>0.16478919831748504</v>
      </c>
      <c r="K61" s="68">
        <f t="shared" si="47"/>
        <v>0.13953319350876367</v>
      </c>
      <c r="L61" s="68">
        <f t="shared" si="47"/>
        <v>0.12455652925466519</v>
      </c>
      <c r="M61" s="68">
        <f t="shared" si="47"/>
        <v>0.13283340687662737</v>
      </c>
      <c r="N61" s="68">
        <f t="shared" si="47"/>
        <v>0.13339837422571088</v>
      </c>
      <c r="O61" s="68">
        <f t="shared" si="47"/>
        <v>0.11360936698646046</v>
      </c>
      <c r="P61" s="68">
        <f t="shared" si="47"/>
        <v>0.1339141006824387</v>
      </c>
      <c r="Q61" s="68">
        <f t="shared" si="47"/>
        <v>0.13925764196973006</v>
      </c>
      <c r="R61" s="68">
        <f t="shared" si="47"/>
        <v>0.13549777837303226</v>
      </c>
      <c r="S61" s="68">
        <f>RATE(S1-$A$1,0,-$B$33,S50)</f>
        <v>0.1379469239151287</v>
      </c>
    </row>
    <row r="62" spans="1:19" ht="16.5" thickBot="1">
      <c r="A62" s="39" t="s">
        <v>39</v>
      </c>
      <c r="B62" s="68">
        <f>RATE(B1-$A$1,0,-$B$33,B51)</f>
        <v>0.1080000000000002</v>
      </c>
      <c r="C62" s="68">
        <f aca="true" t="shared" si="48" ref="C62:R62">RATE(C1-$A$1,0,-$B$33,C51)</f>
        <v>-0.07753374045439175</v>
      </c>
      <c r="D62" s="68">
        <f t="shared" si="48"/>
        <v>-0.014436750119101322</v>
      </c>
      <c r="E62" s="68">
        <f t="shared" si="48"/>
        <v>-0.041523937388095226</v>
      </c>
      <c r="F62" s="68">
        <f t="shared" si="48"/>
        <v>0.023283925032066503</v>
      </c>
      <c r="G62" s="68">
        <f t="shared" si="48"/>
        <v>0.032621001892588944</v>
      </c>
      <c r="H62" s="68">
        <f t="shared" si="48"/>
        <v>0.044072739696847184</v>
      </c>
      <c r="I62" s="68">
        <f t="shared" si="48"/>
        <v>0.04646930482140186</v>
      </c>
      <c r="J62" s="68">
        <f t="shared" si="48"/>
        <v>0.043551495102392083</v>
      </c>
      <c r="K62" s="68">
        <f t="shared" si="48"/>
        <v>0.05853079440818896</v>
      </c>
      <c r="L62" s="68">
        <f t="shared" si="48"/>
        <v>0.07642674006377469</v>
      </c>
      <c r="M62" s="68">
        <f t="shared" si="48"/>
        <v>0.056529621007694965</v>
      </c>
      <c r="N62" s="68">
        <f t="shared" si="48"/>
        <v>0.03295371967385659</v>
      </c>
      <c r="O62" s="68">
        <f t="shared" si="48"/>
        <v>0.018111753717497604</v>
      </c>
      <c r="P62" s="68">
        <f t="shared" si="48"/>
        <v>0.03955019202839578</v>
      </c>
      <c r="Q62" s="68">
        <f t="shared" si="48"/>
        <v>0.049299161751004204</v>
      </c>
      <c r="R62" s="68">
        <f t="shared" si="48"/>
        <v>0.0544995861843172</v>
      </c>
      <c r="S62" s="68">
        <f>RATE(S1-$A$1,0,-$B$33,S51)</f>
        <v>0.0647277495921936</v>
      </c>
    </row>
    <row r="63" spans="1:19" ht="16.5" thickBot="1">
      <c r="A63" s="52" t="s">
        <v>42</v>
      </c>
      <c r="B63" s="68">
        <f>RATE(B1-$A$1,0,-$B$33,B52)</f>
        <v>0.08839999999999999</v>
      </c>
      <c r="C63" s="68">
        <f aca="true" t="shared" si="49" ref="C63:R63">RATE(C1-$A$1,0,-$B$33,C52)</f>
        <v>-0.04014032275545474</v>
      </c>
      <c r="D63" s="68">
        <f t="shared" si="49"/>
        <v>0.0772878979012833</v>
      </c>
      <c r="E63" s="68">
        <f t="shared" si="49"/>
        <v>0.09404583130626142</v>
      </c>
      <c r="F63" s="68">
        <f t="shared" si="49"/>
        <v>0.11380959059901025</v>
      </c>
      <c r="G63" s="68">
        <f t="shared" si="49"/>
        <v>0.09968432009487288</v>
      </c>
      <c r="H63" s="68">
        <f t="shared" si="49"/>
        <v>0.10710602117796121</v>
      </c>
      <c r="I63" s="68">
        <f t="shared" si="49"/>
        <v>0.13518265685030167</v>
      </c>
      <c r="J63" s="68">
        <f t="shared" si="49"/>
        <v>0.14248284213958048</v>
      </c>
      <c r="K63" s="68">
        <f t="shared" si="49"/>
        <v>0.10588537003884155</v>
      </c>
      <c r="L63" s="68">
        <f t="shared" si="49"/>
        <v>0.09111103885728783</v>
      </c>
      <c r="M63" s="68">
        <f t="shared" si="49"/>
        <v>0.104545309926581</v>
      </c>
      <c r="N63" s="68">
        <f t="shared" si="49"/>
        <v>0.10718068846736398</v>
      </c>
      <c r="O63" s="68">
        <f t="shared" si="49"/>
        <v>0.10210498825818524</v>
      </c>
      <c r="P63" s="68">
        <f t="shared" si="49"/>
        <v>0.11827925535957952</v>
      </c>
      <c r="Q63" s="68">
        <f t="shared" si="49"/>
        <v>0.1297055033825466</v>
      </c>
      <c r="R63" s="68">
        <f t="shared" si="49"/>
        <v>0.13140802725262574</v>
      </c>
      <c r="S63" s="68">
        <f>RATE(S1-$A$1,0,-$B$33,S52)</f>
        <v>0.14403990295303573</v>
      </c>
    </row>
    <row r="64" spans="1:19" ht="16.5" thickBot="1">
      <c r="A64" s="119" t="s">
        <v>56</v>
      </c>
      <c r="B64" s="68">
        <f>RATE(B1-$A$1,0,-$B$33*8,B53)</f>
        <v>0.20946250000000008</v>
      </c>
      <c r="C64" s="68">
        <f aca="true" t="shared" si="50" ref="C64:R64">RATE(C1-$A$1,0,-$B$33*8,C53)</f>
        <v>0.0048793994803555535</v>
      </c>
      <c r="D64" s="68">
        <f t="shared" si="50"/>
        <v>0.11410065702189692</v>
      </c>
      <c r="E64" s="68">
        <f t="shared" si="50"/>
        <v>0.11462685944231972</v>
      </c>
      <c r="F64" s="68">
        <f t="shared" si="50"/>
        <v>0.12380477436337914</v>
      </c>
      <c r="G64" s="68">
        <f t="shared" si="50"/>
        <v>0.10189556224090002</v>
      </c>
      <c r="H64" s="68">
        <f t="shared" si="50"/>
        <v>0.1273960426301929</v>
      </c>
      <c r="I64" s="68">
        <f t="shared" si="50"/>
        <v>0.13622304419287493</v>
      </c>
      <c r="J64" s="68">
        <f t="shared" si="50"/>
        <v>0.148843637509786</v>
      </c>
      <c r="K64" s="68">
        <f t="shared" si="50"/>
        <v>0.14270060927031103</v>
      </c>
      <c r="L64" s="68">
        <f t="shared" si="50"/>
        <v>0.1465115382864071</v>
      </c>
      <c r="M64" s="68">
        <f t="shared" si="50"/>
        <v>0.13108095471075565</v>
      </c>
      <c r="N64" s="68">
        <f t="shared" si="50"/>
        <v>0.11654808338690796</v>
      </c>
      <c r="O64" s="68">
        <f t="shared" si="50"/>
        <v>0.09359388098627708</v>
      </c>
      <c r="P64" s="68">
        <f t="shared" si="50"/>
        <v>0.11088783423020818</v>
      </c>
      <c r="Q64" s="68">
        <f t="shared" si="50"/>
        <v>0.11602530658058255</v>
      </c>
      <c r="R64" s="68">
        <f t="shared" si="50"/>
        <v>0.1156096796642769</v>
      </c>
      <c r="S64" s="68">
        <f>RATE(S1-$A$1,0,-$B$33*8,S53)</f>
        <v>0.11894751591255029</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Lowell Herr</dc:creator>
  <cp:keywords/>
  <dc:description/>
  <cp:lastModifiedBy>Lowell Herr</cp:lastModifiedBy>
  <cp:lastPrinted>2006-03-27T18:14:07Z</cp:lastPrinted>
  <dcterms:created xsi:type="dcterms:W3CDTF">2004-12-07T17:18:23Z</dcterms:created>
  <dcterms:modified xsi:type="dcterms:W3CDTF">2007-01-16T18:01:20Z</dcterms:modified>
  <cp:category/>
  <cp:version/>
  <cp:contentType/>
  <cp:contentStatus/>
</cp:coreProperties>
</file>