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tabRatio="910" activeTab="0"/>
  </bookViews>
  <sheets>
    <sheet name="Callan" sheetId="1" r:id="rId1"/>
    <sheet name="3-Year Returns" sheetId="2" r:id="rId2"/>
    <sheet name="3-Year Returns Chart" sheetId="3" r:id="rId3"/>
    <sheet name="5-Year Returns" sheetId="4" r:id="rId4"/>
    <sheet name="5-Year Returns Chart" sheetId="5" r:id="rId5"/>
    <sheet name="10-Year Returns" sheetId="6" r:id="rId6"/>
    <sheet name="10-Year Returns Chart" sheetId="7" r:id="rId7"/>
  </sheets>
  <definedNames/>
  <calcPr fullCalcOnLoad="1"/>
</workbook>
</file>

<file path=xl/sharedStrings.xml><?xml version="1.0" encoding="utf-8"?>
<sst xmlns="http://schemas.openxmlformats.org/spreadsheetml/2006/main" count="37" uniqueCount="27">
  <si>
    <t>Long Bonds</t>
  </si>
  <si>
    <t>Russell 2000 Value</t>
  </si>
  <si>
    <t>Russell 2000 Growth</t>
  </si>
  <si>
    <t>S&amp;P 500 Growth</t>
  </si>
  <si>
    <t>S&amp;P 500 Index</t>
  </si>
  <si>
    <t>S&amp;P/Barra 500 Value</t>
  </si>
  <si>
    <t>Russell 2000 Blend</t>
  </si>
  <si>
    <t>MSCI/EAFE</t>
  </si>
  <si>
    <t>Total</t>
  </si>
  <si>
    <t>Type</t>
  </si>
  <si>
    <t>1-Yr</t>
  </si>
  <si>
    <t>Annualized</t>
  </si>
  <si>
    <t>3-Yr</t>
  </si>
  <si>
    <t>5-Yr</t>
  </si>
  <si>
    <t>Lg-Cap Value (IVE)</t>
  </si>
  <si>
    <t>Mid-Cap Value (IJJ)</t>
  </si>
  <si>
    <t>Small Cap Value (IJS)</t>
  </si>
  <si>
    <t>Lg-Cap Growth (IVW)</t>
  </si>
  <si>
    <t>Mid-Cap Growth (IJK)</t>
  </si>
  <si>
    <t>Small Cap Growth (IJT)</t>
  </si>
  <si>
    <t>MSCI Japan (EWJ)</t>
  </si>
  <si>
    <t>MSCI Europe (EZU)</t>
  </si>
  <si>
    <t>REITs (ICF)</t>
  </si>
  <si>
    <t>NA</t>
  </si>
  <si>
    <t>Since Inception</t>
  </si>
  <si>
    <t>3-Year Returns</t>
  </si>
  <si>
    <t>5-Year Returns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</si>
</sst>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9.25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17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9" xfId="0" applyFill="1" applyBorder="1" applyAlignment="1">
      <alignment horizontal="center"/>
    </xf>
    <xf numFmtId="1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6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3-Year Trailing Returns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65"/>
          <c:w val="0.9207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'3-Year Returns'!$A$3</c:f>
              <c:strCache>
                <c:ptCount val="1"/>
                <c:pt idx="0">
                  <c:v>Long Bonds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Returns'!$B$3:$S$3</c:f>
              <c:numCache>
                <c:ptCount val="18"/>
                <c:pt idx="0">
                  <c:v>0.15015880030258236</c:v>
                </c:pt>
                <c:pt idx="1">
                  <c:v>0.17482145428911477</c:v>
                </c:pt>
                <c:pt idx="2">
                  <c:v>0.13103965448613583</c:v>
                </c:pt>
                <c:pt idx="3">
                  <c:v>0.08525245507617782</c:v>
                </c:pt>
                <c:pt idx="4">
                  <c:v>0.08283120173251461</c:v>
                </c:pt>
                <c:pt idx="5">
                  <c:v>0.10422061148464104</c:v>
                </c:pt>
                <c:pt idx="6">
                  <c:v>0.13122270886951715</c:v>
                </c:pt>
                <c:pt idx="7">
                  <c:v>0.10724345475255219</c:v>
                </c:pt>
                <c:pt idx="8">
                  <c:v>0.10991298725441759</c:v>
                </c:pt>
                <c:pt idx="9">
                  <c:v>0.04595466036793265</c:v>
                </c:pt>
                <c:pt idx="10">
                  <c:v>0.08069217854033746</c:v>
                </c:pt>
                <c:pt idx="11">
                  <c:v>0.06025330138684699</c:v>
                </c:pt>
                <c:pt idx="12">
                  <c:v>0.10413638055446607</c:v>
                </c:pt>
                <c:pt idx="13">
                  <c:v>0.07293972496884618</c:v>
                </c:pt>
                <c:pt idx="14">
                  <c:v>0.057322704841231066</c:v>
                </c:pt>
                <c:pt idx="15">
                  <c:v>0.06368130011604098</c:v>
                </c:pt>
                <c:pt idx="16">
                  <c:v>0.06283254841169421</c:v>
                </c:pt>
                <c:pt idx="17">
                  <c:v>0.1009890776930958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'3-Year Returns'!$A$4</c:f>
              <c:strCache>
                <c:ptCount val="1"/>
                <c:pt idx="0">
                  <c:v>Russell 2000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Returns'!$B$4:$S$4</c:f>
              <c:numCache>
                <c:ptCount val="18"/>
                <c:pt idx="0">
                  <c:v>0.2292398811171652</c:v>
                </c:pt>
                <c:pt idx="1">
                  <c:v>0.1290135123771331</c:v>
                </c:pt>
                <c:pt idx="2">
                  <c:v>0.0933447485280339</c:v>
                </c:pt>
                <c:pt idx="3">
                  <c:v>0.08904382560081839</c:v>
                </c:pt>
                <c:pt idx="4">
                  <c:v>0.10575230953035196</c:v>
                </c:pt>
                <c:pt idx="5">
                  <c:v>0.04425900647910263</c:v>
                </c:pt>
                <c:pt idx="6">
                  <c:v>0.07615574970798217</c:v>
                </c:pt>
                <c:pt idx="7">
                  <c:v>0.1270569558112128</c:v>
                </c:pt>
                <c:pt idx="8">
                  <c:v>0.31360596578751615</c:v>
                </c:pt>
                <c:pt idx="9">
                  <c:v>0.16344824513872794</c:v>
                </c:pt>
                <c:pt idx="10">
                  <c:v>0.15314768098884915</c:v>
                </c:pt>
                <c:pt idx="11">
                  <c:v>0.14536793852117344</c:v>
                </c:pt>
                <c:pt idx="12">
                  <c:v>0.2622816910138534</c:v>
                </c:pt>
                <c:pt idx="13">
                  <c:v>0.14371918707126363</c:v>
                </c:pt>
                <c:pt idx="14">
                  <c:v>0.06690010364157561</c:v>
                </c:pt>
                <c:pt idx="15">
                  <c:v>0.042178413710899</c:v>
                </c:pt>
                <c:pt idx="16">
                  <c:v>0.1133097003182172</c:v>
                </c:pt>
                <c:pt idx="17">
                  <c:v>0.03657321504569035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'3-Year Returns'!$A$5</c:f>
              <c:strCache>
                <c:ptCount val="1"/>
                <c:pt idx="0">
                  <c:v>Russell 2000 Blend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Returns'!$B$5:$S$5</c:f>
              <c:numCache>
                <c:ptCount val="18"/>
                <c:pt idx="0">
                  <c:v>0.16261385359764105</c:v>
                </c:pt>
                <c:pt idx="1">
                  <c:v>0.08752122712240354</c:v>
                </c:pt>
                <c:pt idx="2">
                  <c:v>0.08112112368527885</c:v>
                </c:pt>
                <c:pt idx="3">
                  <c:v>0.06393626745578847</c:v>
                </c:pt>
                <c:pt idx="4">
                  <c:v>0.09825191175224905</c:v>
                </c:pt>
                <c:pt idx="5">
                  <c:v>0.05334871352044109</c:v>
                </c:pt>
                <c:pt idx="6">
                  <c:v>0.10976272726506256</c:v>
                </c:pt>
                <c:pt idx="7">
                  <c:v>0.11662539203893103</c:v>
                </c:pt>
                <c:pt idx="8">
                  <c:v>0.27161989801685493</c:v>
                </c:pt>
                <c:pt idx="9">
                  <c:v>0.11398467060239502</c:v>
                </c:pt>
                <c:pt idx="10">
                  <c:v>0.14455753281997555</c:v>
                </c:pt>
                <c:pt idx="11">
                  <c:v>0.13693359913910844</c:v>
                </c:pt>
                <c:pt idx="12">
                  <c:v>0.22346768755607402</c:v>
                </c:pt>
                <c:pt idx="13">
                  <c:v>0.11588563296502731</c:v>
                </c:pt>
                <c:pt idx="14">
                  <c:v>0.13078392292944968</c:v>
                </c:pt>
                <c:pt idx="15">
                  <c:v>0.04647099546783421</c:v>
                </c:pt>
                <c:pt idx="16">
                  <c:v>0.06420937126737383</c:v>
                </c:pt>
                <c:pt idx="17">
                  <c:v>-0.0754153447842912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'3-Year Returns'!$A$6</c:f>
              <c:strCache>
                <c:ptCount val="1"/>
                <c:pt idx="0">
                  <c:v>S&amp;P 500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Returns'!$B$6:$S$6</c:f>
              <c:numCache>
                <c:ptCount val="18"/>
                <c:pt idx="0">
                  <c:v>0.16611245669250196</c:v>
                </c:pt>
                <c:pt idx="1">
                  <c:v>0.160264656307461</c:v>
                </c:pt>
                <c:pt idx="2">
                  <c:v>0.17581575282607004</c:v>
                </c:pt>
                <c:pt idx="3">
                  <c:v>0.10932737635938071</c:v>
                </c:pt>
                <c:pt idx="4">
                  <c:v>0.1759694115441481</c:v>
                </c:pt>
                <c:pt idx="5">
                  <c:v>0.15230840568547552</c:v>
                </c:pt>
                <c:pt idx="6">
                  <c:v>0.23663445971879365</c:v>
                </c:pt>
                <c:pt idx="7">
                  <c:v>0.13357176415654762</c:v>
                </c:pt>
                <c:pt idx="8">
                  <c:v>0.13912563397241762</c:v>
                </c:pt>
                <c:pt idx="9">
                  <c:v>0.03284072459391215</c:v>
                </c:pt>
                <c:pt idx="10">
                  <c:v>0.13148871144994792</c:v>
                </c:pt>
                <c:pt idx="11">
                  <c:v>0.20877066934407812</c:v>
                </c:pt>
                <c:pt idx="12">
                  <c:v>0.32719162006524316</c:v>
                </c:pt>
                <c:pt idx="13">
                  <c:v>0.3399752141966221</c:v>
                </c:pt>
                <c:pt idx="14">
                  <c:v>0.355221728197208</c:v>
                </c:pt>
                <c:pt idx="15">
                  <c:v>0.12420752580639591</c:v>
                </c:pt>
                <c:pt idx="16">
                  <c:v>-0.04454770341342496</c:v>
                </c:pt>
                <c:pt idx="17">
                  <c:v>-0.19602980154737742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'3-Year Returns'!$A$7</c:f>
              <c:strCache>
                <c:ptCount val="1"/>
                <c:pt idx="0">
                  <c:v>S&amp;P 500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Returns'!$B$7:$S$7</c:f>
              <c:numCache>
                <c:ptCount val="18"/>
                <c:pt idx="0">
                  <c:v>0.19714854371991924</c:v>
                </c:pt>
                <c:pt idx="1">
                  <c:v>0.18434647446364893</c:v>
                </c:pt>
                <c:pt idx="2">
                  <c:v>0.1805450908010484</c:v>
                </c:pt>
                <c:pt idx="3">
                  <c:v>0.13352981405426048</c:v>
                </c:pt>
                <c:pt idx="4">
                  <c:v>0.17355531810891817</c:v>
                </c:pt>
                <c:pt idx="5">
                  <c:v>0.14162249132396312</c:v>
                </c:pt>
                <c:pt idx="6">
                  <c:v>0.18517042460400499</c:v>
                </c:pt>
                <c:pt idx="7">
                  <c:v>0.10805385409617158</c:v>
                </c:pt>
                <c:pt idx="8">
                  <c:v>0.1562116925405216</c:v>
                </c:pt>
                <c:pt idx="9">
                  <c:v>0.06275265002415908</c:v>
                </c:pt>
                <c:pt idx="10">
                  <c:v>0.1534168785387195</c:v>
                </c:pt>
                <c:pt idx="11">
                  <c:v>0.1967537037977558</c:v>
                </c:pt>
                <c:pt idx="12">
                  <c:v>0.31154012588292035</c:v>
                </c:pt>
                <c:pt idx="13">
                  <c:v>0.28229403175086315</c:v>
                </c:pt>
                <c:pt idx="14">
                  <c:v>0.27558471849308674</c:v>
                </c:pt>
                <c:pt idx="15">
                  <c:v>0.12259233672262337</c:v>
                </c:pt>
                <c:pt idx="16">
                  <c:v>-0.010257022706093718</c:v>
                </c:pt>
                <c:pt idx="17">
                  <c:v>-0.14547400932934407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'3-Year Returns'!$A$8</c:f>
              <c:strCache>
                <c:ptCount val="1"/>
                <c:pt idx="0">
                  <c:v>S&amp;P/Barra 500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Returns'!$B$8:$S$8</c:f>
              <c:numCache>
                <c:ptCount val="18"/>
                <c:pt idx="0">
                  <c:v>0.22699944774684633</c:v>
                </c:pt>
                <c:pt idx="1">
                  <c:v>0.20364697501600476</c:v>
                </c:pt>
                <c:pt idx="2">
                  <c:v>0.17828540828040948</c:v>
                </c:pt>
                <c:pt idx="3">
                  <c:v>0.15350815232984213</c:v>
                </c:pt>
                <c:pt idx="4">
                  <c:v>0.16743389251707094</c:v>
                </c:pt>
                <c:pt idx="5">
                  <c:v>0.1264923696073787</c:v>
                </c:pt>
                <c:pt idx="6">
                  <c:v>0.12923241376876562</c:v>
                </c:pt>
                <c:pt idx="7">
                  <c:v>0.08058142026835469</c:v>
                </c:pt>
                <c:pt idx="8">
                  <c:v>0.17124886419348065</c:v>
                </c:pt>
                <c:pt idx="9">
                  <c:v>0.09211941116593492</c:v>
                </c:pt>
                <c:pt idx="10">
                  <c:v>0.17314795907037103</c:v>
                </c:pt>
                <c:pt idx="11">
                  <c:v>0.18418646548876913</c:v>
                </c:pt>
                <c:pt idx="12">
                  <c:v>0.29511522742474083</c:v>
                </c:pt>
                <c:pt idx="13">
                  <c:v>0.22063917872585953</c:v>
                </c:pt>
                <c:pt idx="14">
                  <c:v>0.18886996433544143</c:v>
                </c:pt>
                <c:pt idx="15">
                  <c:v>0.11101523579098957</c:v>
                </c:pt>
                <c:pt idx="16">
                  <c:v>0.018236519931634502</c:v>
                </c:pt>
                <c:pt idx="17">
                  <c:v>-0.06039809016697402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'3-Year Returns'!$A$9</c:f>
              <c:strCache>
                <c:ptCount val="1"/>
                <c:pt idx="0">
                  <c:v>Russell 2000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Returns'!$B$9:$S$9</c:f>
              <c:numCache>
                <c:ptCount val="18"/>
                <c:pt idx="0">
                  <c:v>0.09813329816333377</c:v>
                </c:pt>
                <c:pt idx="1">
                  <c:v>0.04519774113135172</c:v>
                </c:pt>
                <c:pt idx="2">
                  <c:v>0.06693159984366004</c:v>
                </c:pt>
                <c:pt idx="3">
                  <c:v>0.03736298741214848</c:v>
                </c:pt>
                <c:pt idx="4">
                  <c:v>0.08996221814893035</c:v>
                </c:pt>
                <c:pt idx="5">
                  <c:v>0.061035005705838676</c:v>
                </c:pt>
                <c:pt idx="6">
                  <c:v>0.14474752456029374</c:v>
                </c:pt>
                <c:pt idx="7">
                  <c:v>0.10396600666987793</c:v>
                </c:pt>
                <c:pt idx="8">
                  <c:v>0.22695920593448712</c:v>
                </c:pt>
                <c:pt idx="9">
                  <c:v>0.060284974660052934</c:v>
                </c:pt>
                <c:pt idx="10">
                  <c:v>0.1316825193498104</c:v>
                </c:pt>
                <c:pt idx="11">
                  <c:v>0.12481981387270284</c:v>
                </c:pt>
                <c:pt idx="12">
                  <c:v>0.1810332829732538</c:v>
                </c:pt>
                <c:pt idx="13">
                  <c:v>0.08367050793901012</c:v>
                </c:pt>
                <c:pt idx="14">
                  <c:v>0.17826402040830747</c:v>
                </c:pt>
                <c:pt idx="15">
                  <c:v>0.039610771598209894</c:v>
                </c:pt>
                <c:pt idx="16">
                  <c:v>0.0024940496455000444</c:v>
                </c:pt>
                <c:pt idx="17">
                  <c:v>-0.21106839104487082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'3-Year Returns'!$A$10</c:f>
              <c:strCache>
                <c:ptCount val="1"/>
                <c:pt idx="0">
                  <c:v>MSCI/EAFE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'3-Year Returns'!$B$2:$S$2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'3-Year Returns'!$B$10:$S$10</c:f>
              <c:numCache>
                <c:ptCount val="18"/>
                <c:pt idx="0">
                  <c:v>0.27535520917540884</c:v>
                </c:pt>
                <c:pt idx="1">
                  <c:v>0.4164742955937964</c:v>
                </c:pt>
                <c:pt idx="2">
                  <c:v>0.4884912035861658</c:v>
                </c:pt>
                <c:pt idx="3">
                  <c:v>0.3940294841709747</c:v>
                </c:pt>
                <c:pt idx="4">
                  <c:v>0.20895355123463236</c:v>
                </c:pt>
                <c:pt idx="5">
                  <c:v>0.02763495147021053</c:v>
                </c:pt>
                <c:pt idx="6">
                  <c:v>-0.017358038840918338</c:v>
                </c:pt>
                <c:pt idx="7">
                  <c:v>-0.08987776108137105</c:v>
                </c:pt>
                <c:pt idx="8">
                  <c:v>0.09294862222589768</c:v>
                </c:pt>
                <c:pt idx="9">
                  <c:v>0.0785963743721966</c:v>
                </c:pt>
                <c:pt idx="10">
                  <c:v>0.16692360611731719</c:v>
                </c:pt>
                <c:pt idx="11">
                  <c:v>0.08325548720553785</c:v>
                </c:pt>
                <c:pt idx="12">
                  <c:v>0.06276926615794554</c:v>
                </c:pt>
                <c:pt idx="13">
                  <c:v>0.09006263983646015</c:v>
                </c:pt>
                <c:pt idx="14">
                  <c:v>0.15745345448940418</c:v>
                </c:pt>
                <c:pt idx="15">
                  <c:v>0.09352594299818878</c:v>
                </c:pt>
                <c:pt idx="16">
                  <c:v>-0.05048353419172434</c:v>
                </c:pt>
                <c:pt idx="17">
                  <c:v>-0.17241999161611962</c:v>
                </c:pt>
              </c:numCache>
            </c:numRef>
          </c:val>
          <c:smooth val="0"/>
        </c:ser>
        <c:axId val="40787626"/>
        <c:axId val="31544315"/>
      </c:lineChart>
      <c:catAx>
        <c:axId val="4078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5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44315"/>
        <c:crosses val="autoZero"/>
        <c:auto val="1"/>
        <c:lblOffset val="100"/>
        <c:noMultiLvlLbl val="0"/>
      </c:catAx>
      <c:valAx>
        <c:axId val="315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Return (in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87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"/>
          <c:y val="0.94075"/>
          <c:w val="0.967"/>
          <c:h val="0.05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5-Year Trailing Returns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35"/>
          <c:w val="0.925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'5-Year Returns'!$A$3</c:f>
              <c:strCache>
                <c:ptCount val="1"/>
                <c:pt idx="0">
                  <c:v>Long Bonds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Returns'!$B$3:$Q$3</c:f>
              <c:numCache>
                <c:ptCount val="16"/>
                <c:pt idx="0">
                  <c:v>0.1250631796540938</c:v>
                </c:pt>
                <c:pt idx="1">
                  <c:v>0.1244385490220415</c:v>
                </c:pt>
                <c:pt idx="2">
                  <c:v>0.1232250740240594</c:v>
                </c:pt>
                <c:pt idx="3">
                  <c:v>0.09788218315964455</c:v>
                </c:pt>
                <c:pt idx="4">
                  <c:v>0.09921203223590425</c:v>
                </c:pt>
                <c:pt idx="5">
                  <c:v>0.10898574517720373</c:v>
                </c:pt>
                <c:pt idx="6">
                  <c:v>0.11278338087264629</c:v>
                </c:pt>
                <c:pt idx="7">
                  <c:v>0.0765959267415503</c:v>
                </c:pt>
                <c:pt idx="8">
                  <c:v>0.09474673620617878</c:v>
                </c:pt>
                <c:pt idx="9">
                  <c:v>0.07035426054419942</c:v>
                </c:pt>
                <c:pt idx="10">
                  <c:v>0.07478226423837891</c:v>
                </c:pt>
                <c:pt idx="11">
                  <c:v>0.07271781767699423</c:v>
                </c:pt>
                <c:pt idx="12">
                  <c:v>0.07731910471348676</c:v>
                </c:pt>
                <c:pt idx="13">
                  <c:v>0.06459936009473204</c:v>
                </c:pt>
                <c:pt idx="14">
                  <c:v>0.07428279820710687</c:v>
                </c:pt>
                <c:pt idx="15">
                  <c:v>0.07547553622465243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'5-Year Returns'!$A$4</c:f>
              <c:strCache>
                <c:ptCount val="1"/>
                <c:pt idx="0">
                  <c:v>Russell 2000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Returns'!$B$4:$Q$4</c:f>
              <c:numCache>
                <c:ptCount val="16"/>
                <c:pt idx="0">
                  <c:v>0.13129370316586206</c:v>
                </c:pt>
                <c:pt idx="1">
                  <c:v>0.1159320600593742</c:v>
                </c:pt>
                <c:pt idx="2">
                  <c:v>0.137272520892931</c:v>
                </c:pt>
                <c:pt idx="3">
                  <c:v>0.02583691320235879</c:v>
                </c:pt>
                <c:pt idx="4">
                  <c:v>0.08428474881979912</c:v>
                </c:pt>
                <c:pt idx="5">
                  <c:v>0.15818461058434644</c:v>
                </c:pt>
                <c:pt idx="6">
                  <c:v>0.1479690397253034</c:v>
                </c:pt>
                <c:pt idx="7">
                  <c:v>0.1178843531143876</c:v>
                </c:pt>
                <c:pt idx="8">
                  <c:v>0.22920356210428922</c:v>
                </c:pt>
                <c:pt idx="9">
                  <c:v>0.19171418958998612</c:v>
                </c:pt>
                <c:pt idx="10">
                  <c:v>0.1965287245783708</c:v>
                </c:pt>
                <c:pt idx="11">
                  <c:v>0.13119216131462338</c:v>
                </c:pt>
                <c:pt idx="12">
                  <c:v>0.13135297582038608</c:v>
                </c:pt>
                <c:pt idx="13">
                  <c:v>0.12604932645106248</c:v>
                </c:pt>
                <c:pt idx="14">
                  <c:v>0.11208752655672405</c:v>
                </c:pt>
                <c:pt idx="15">
                  <c:v>0.0052274587683881855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'5-Year Returns'!$A$5</c:f>
              <c:strCache>
                <c:ptCount val="1"/>
                <c:pt idx="0">
                  <c:v>Russell 2000 Blend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Returns'!$B$5:$Q$5</c:f>
              <c:numCache>
                <c:ptCount val="16"/>
                <c:pt idx="0">
                  <c:v>0.08668865008964892</c:v>
                </c:pt>
                <c:pt idx="1">
                  <c:v>0.07945671926791609</c:v>
                </c:pt>
                <c:pt idx="2">
                  <c:v>0.12903846277382577</c:v>
                </c:pt>
                <c:pt idx="3">
                  <c:v>0.0242055772039944</c:v>
                </c:pt>
                <c:pt idx="4">
                  <c:v>0.09264899113625345</c:v>
                </c:pt>
                <c:pt idx="5">
                  <c:v>0.1511412722952597</c:v>
                </c:pt>
                <c:pt idx="6">
                  <c:v>0.13986168962075718</c:v>
                </c:pt>
                <c:pt idx="7">
                  <c:v>0.10201375961689563</c:v>
                </c:pt>
                <c:pt idx="8">
                  <c:v>0.20995132757379953</c:v>
                </c:pt>
                <c:pt idx="9">
                  <c:v>0.1565252990783063</c:v>
                </c:pt>
                <c:pt idx="10">
                  <c:v>0.16412072135953867</c:v>
                </c:pt>
                <c:pt idx="11">
                  <c:v>0.11873009968524385</c:v>
                </c:pt>
                <c:pt idx="12">
                  <c:v>0.16695842501658967</c:v>
                </c:pt>
                <c:pt idx="13">
                  <c:v>0.10319366780837262</c:v>
                </c:pt>
                <c:pt idx="14">
                  <c:v>0.07522786234682498</c:v>
                </c:pt>
                <c:pt idx="15">
                  <c:v>-0.013566323889796787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'5-Year Returns'!$A$6</c:f>
              <c:strCache>
                <c:ptCount val="1"/>
                <c:pt idx="0">
                  <c:v>S&amp;P 500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Returns'!$B$6:$Q$6</c:f>
              <c:numCache>
                <c:ptCount val="16"/>
                <c:pt idx="0">
                  <c:v>0.14097276951329318</c:v>
                </c:pt>
                <c:pt idx="1">
                  <c:v>0.13242377571103572</c:v>
                </c:pt>
                <c:pt idx="2">
                  <c:v>0.1994199224445347</c:v>
                </c:pt>
                <c:pt idx="3">
                  <c:v>0.13284960311775776</c:v>
                </c:pt>
                <c:pt idx="4">
                  <c:v>0.1765748143780877</c:v>
                </c:pt>
                <c:pt idx="5">
                  <c:v>0.17337574180439252</c:v>
                </c:pt>
                <c:pt idx="6">
                  <c:v>0.15101078595854092</c:v>
                </c:pt>
                <c:pt idx="7">
                  <c:v>0.08843361178833686</c:v>
                </c:pt>
                <c:pt idx="8">
                  <c:v>0.16060918377353642</c:v>
                </c:pt>
                <c:pt idx="9">
                  <c:v>0.13537920281408306</c:v>
                </c:pt>
                <c:pt idx="10">
                  <c:v>0.19644492381992112</c:v>
                </c:pt>
                <c:pt idx="11">
                  <c:v>0.27938450603774256</c:v>
                </c:pt>
                <c:pt idx="12">
                  <c:v>0.3363712880364857</c:v>
                </c:pt>
                <c:pt idx="13">
                  <c:v>0.19181945129940672</c:v>
                </c:pt>
                <c:pt idx="14">
                  <c:v>0.11101556693858614</c:v>
                </c:pt>
                <c:pt idx="15">
                  <c:v>-0.010738908817018356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'5-Year Returns'!$A$7</c:f>
              <c:strCache>
                <c:ptCount val="1"/>
                <c:pt idx="0">
                  <c:v>S&amp;P 500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Returns'!$B$7:$Q$7</c:f>
              <c:numCache>
                <c:ptCount val="16"/>
                <c:pt idx="0">
                  <c:v>0.16466609917054748</c:v>
                </c:pt>
                <c:pt idx="1">
                  <c:v>0.1531315186856422</c:v>
                </c:pt>
                <c:pt idx="2">
                  <c:v>0.20366952866661073</c:v>
                </c:pt>
                <c:pt idx="3">
                  <c:v>0.13194706870142883</c:v>
                </c:pt>
                <c:pt idx="4">
                  <c:v>0.15361279206631273</c:v>
                </c:pt>
                <c:pt idx="5">
                  <c:v>0.15876198699690414</c:v>
                </c:pt>
                <c:pt idx="6">
                  <c:v>0.14548330769984613</c:v>
                </c:pt>
                <c:pt idx="7">
                  <c:v>0.08696920842599298</c:v>
                </c:pt>
                <c:pt idx="8">
                  <c:v>0.16593009227349612</c:v>
                </c:pt>
                <c:pt idx="9">
                  <c:v>0.15218747500577093</c:v>
                </c:pt>
                <c:pt idx="10">
                  <c:v>0.2026788390348491</c:v>
                </c:pt>
                <c:pt idx="11">
                  <c:v>0.24063111709266596</c:v>
                </c:pt>
                <c:pt idx="12">
                  <c:v>0.2855513139175325</c:v>
                </c:pt>
                <c:pt idx="13">
                  <c:v>0.1832898307794992</c:v>
                </c:pt>
                <c:pt idx="14">
                  <c:v>0.10701437142871621</c:v>
                </c:pt>
                <c:pt idx="15">
                  <c:v>-0.0058414928952581595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'5-Year Returns'!$A$8</c:f>
              <c:strCache>
                <c:ptCount val="1"/>
                <c:pt idx="0">
                  <c:v>S&amp;P/Barra 500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Returns'!$B$8:$Q$8</c:f>
              <c:numCache>
                <c:ptCount val="16"/>
                <c:pt idx="0">
                  <c:v>0.1843561503289196</c:v>
                </c:pt>
                <c:pt idx="1">
                  <c:v>0.17077968083921652</c:v>
                </c:pt>
                <c:pt idx="2">
                  <c:v>0.20212791023663862</c:v>
                </c:pt>
                <c:pt idx="3">
                  <c:v>0.12515577066180247</c:v>
                </c:pt>
                <c:pt idx="4">
                  <c:v>0.12679704857695054</c:v>
                </c:pt>
                <c:pt idx="5">
                  <c:v>0.14128702079157426</c:v>
                </c:pt>
                <c:pt idx="6">
                  <c:v>0.13550685568073556</c:v>
                </c:pt>
                <c:pt idx="7">
                  <c:v>0.082600935550842</c:v>
                </c:pt>
                <c:pt idx="8">
                  <c:v>0.16941752882070302</c:v>
                </c:pt>
                <c:pt idx="9">
                  <c:v>0.1683469119715661</c:v>
                </c:pt>
                <c:pt idx="10">
                  <c:v>0.20686570500191295</c:v>
                </c:pt>
                <c:pt idx="11">
                  <c:v>0.19876063444764158</c:v>
                </c:pt>
                <c:pt idx="12">
                  <c:v>0.22939191407473009</c:v>
                </c:pt>
                <c:pt idx="13">
                  <c:v>0.1680980029622172</c:v>
                </c:pt>
                <c:pt idx="14">
                  <c:v>0.09493822786522868</c:v>
                </c:pt>
                <c:pt idx="15">
                  <c:v>0.014078654032149909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'5-Year Returns'!$A$9</c:f>
              <c:strCache>
                <c:ptCount val="1"/>
                <c:pt idx="0">
                  <c:v>Russell 2000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Returns'!$B$9:$Q$9</c:f>
              <c:numCache>
                <c:ptCount val="16"/>
                <c:pt idx="0">
                  <c:v>0.04193497815086326</c:v>
                </c:pt>
                <c:pt idx="1">
                  <c:v>0.04235093422797979</c:v>
                </c:pt>
                <c:pt idx="2">
                  <c:v>0.11929560520074131</c:v>
                </c:pt>
                <c:pt idx="3">
                  <c:v>0.02067013814776235</c:v>
                </c:pt>
                <c:pt idx="4">
                  <c:v>0.10083115033659945</c:v>
                </c:pt>
                <c:pt idx="5">
                  <c:v>0.1424475541002509</c:v>
                </c:pt>
                <c:pt idx="6">
                  <c:v>0.12882087921235186</c:v>
                </c:pt>
                <c:pt idx="7">
                  <c:v>0.08274804473014617</c:v>
                </c:pt>
                <c:pt idx="8">
                  <c:v>0.18749888170351503</c:v>
                </c:pt>
                <c:pt idx="9">
                  <c:v>0.11698921706471288</c:v>
                </c:pt>
                <c:pt idx="10">
                  <c:v>0.1274862901256303</c:v>
                </c:pt>
                <c:pt idx="11">
                  <c:v>0.10223319902245921</c:v>
                </c:pt>
                <c:pt idx="12">
                  <c:v>0.18998362749041592</c:v>
                </c:pt>
                <c:pt idx="13">
                  <c:v>0.07151675792545985</c:v>
                </c:pt>
                <c:pt idx="14">
                  <c:v>0.028662232919066603</c:v>
                </c:pt>
                <c:pt idx="15">
                  <c:v>-0.06587000380820493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'5-Year Returns'!$A$10</c:f>
              <c:strCache>
                <c:ptCount val="1"/>
                <c:pt idx="0">
                  <c:v>MSCI/EAFE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'5-Year Returns'!$B$2:$Q$2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'5-Year Returns'!$B$10:$Q$10</c:f>
              <c:numCache>
                <c:ptCount val="16"/>
                <c:pt idx="0">
                  <c:v>0.34376592680338547</c:v>
                </c:pt>
                <c:pt idx="1">
                  <c:v>0.3535520280827929</c:v>
                </c:pt>
                <c:pt idx="2">
                  <c:v>0.3613257034964313</c:v>
                </c:pt>
                <c:pt idx="3">
                  <c:v>0.18045177245624802</c:v>
                </c:pt>
                <c:pt idx="4">
                  <c:v>0.08689331734417713</c:v>
                </c:pt>
                <c:pt idx="5">
                  <c:v>0.013384172586525784</c:v>
                </c:pt>
                <c:pt idx="6">
                  <c:v>0.020105105530500336</c:v>
                </c:pt>
                <c:pt idx="7">
                  <c:v>0.014977752629276028</c:v>
                </c:pt>
                <c:pt idx="8">
                  <c:v>0.09369506419559796</c:v>
                </c:pt>
                <c:pt idx="9">
                  <c:v>0.08154918996672239</c:v>
                </c:pt>
                <c:pt idx="10">
                  <c:v>0.11393558834424895</c:v>
                </c:pt>
                <c:pt idx="11">
                  <c:v>0.09196137593011901</c:v>
                </c:pt>
                <c:pt idx="12">
                  <c:v>0.1283219165942562</c:v>
                </c:pt>
                <c:pt idx="13">
                  <c:v>0.07135173765359923</c:v>
                </c:pt>
                <c:pt idx="14">
                  <c:v>0.008951380112974514</c:v>
                </c:pt>
                <c:pt idx="15">
                  <c:v>-0.028918620601372735</c:v>
                </c:pt>
              </c:numCache>
            </c:numRef>
          </c:val>
          <c:smooth val="0"/>
        </c:ser>
        <c:axId val="15463380"/>
        <c:axId val="4952693"/>
      </c:lineChart>
      <c:catAx>
        <c:axId val="154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52693"/>
        <c:crosses val="autoZero"/>
        <c:auto val="1"/>
        <c:lblOffset val="100"/>
        <c:noMultiLvlLbl val="0"/>
      </c:catAx>
      <c:valAx>
        <c:axId val="495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Return (in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46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425"/>
          <c:w val="0.9425"/>
          <c:h val="0.0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10-Year Trailing Returns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5925"/>
          <c:w val="0.95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'10-Year Returns'!$A$3</c:f>
              <c:strCache>
                <c:ptCount val="1"/>
                <c:pt idx="0">
                  <c:v>Long Bonds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Returns'!$B$3:$L$3</c:f>
              <c:numCache>
                <c:ptCount val="11"/>
                <c:pt idx="0">
                  <c:v>0.11699553654440485</c:v>
                </c:pt>
                <c:pt idx="1">
                  <c:v>0.11859578497516218</c:v>
                </c:pt>
                <c:pt idx="2">
                  <c:v>0.09966337553857006</c:v>
                </c:pt>
                <c:pt idx="3">
                  <c:v>0.09631333876375013</c:v>
                </c:pt>
                <c:pt idx="4">
                  <c:v>0.08468718160818471</c:v>
                </c:pt>
                <c:pt idx="5">
                  <c:v>0.09175006764878393</c:v>
                </c:pt>
                <c:pt idx="6">
                  <c:v>0.09256695899040832</c:v>
                </c:pt>
                <c:pt idx="7">
                  <c:v>0.07695745502569398</c:v>
                </c:pt>
                <c:pt idx="8">
                  <c:v>0.07956781854170701</c:v>
                </c:pt>
                <c:pt idx="9">
                  <c:v>0.0723167303043312</c:v>
                </c:pt>
                <c:pt idx="10">
                  <c:v>0.0751288443514962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'10-Year Returns'!$A$4</c:f>
              <c:strCache>
                <c:ptCount val="1"/>
                <c:pt idx="0">
                  <c:v>Russell 2000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Returns'!$B$4:$L$4</c:f>
              <c:numCache>
                <c:ptCount val="11"/>
                <c:pt idx="0">
                  <c:v>0.1446601928335893</c:v>
                </c:pt>
                <c:pt idx="1">
                  <c:v>0.13183720356842427</c:v>
                </c:pt>
                <c:pt idx="2">
                  <c:v>0.1275367649578703</c:v>
                </c:pt>
                <c:pt idx="3">
                  <c:v>0.12292581582362172</c:v>
                </c:pt>
                <c:pt idx="4">
                  <c:v>0.13673106789784714</c:v>
                </c:pt>
                <c:pt idx="5">
                  <c:v>0.177200558498401</c:v>
                </c:pt>
                <c:pt idx="6">
                  <c:v>0.1395497265012841</c:v>
                </c:pt>
                <c:pt idx="7">
                  <c:v>0.12459850147413194</c:v>
                </c:pt>
                <c:pt idx="8">
                  <c:v>0.17649642718489408</c:v>
                </c:pt>
                <c:pt idx="9">
                  <c:v>0.15121261522953097</c:v>
                </c:pt>
                <c:pt idx="10">
                  <c:v>0.0967148805187694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'10-Year Returns'!$A$5</c:f>
              <c:strCache>
                <c:ptCount val="1"/>
                <c:pt idx="0">
                  <c:v>Russell 2000 Blend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Returns'!$B$5:$L$5</c:f>
              <c:numCache>
                <c:ptCount val="11"/>
                <c:pt idx="0">
                  <c:v>0.11845078356311105</c:v>
                </c:pt>
                <c:pt idx="1">
                  <c:v>0.10924810565461575</c:v>
                </c:pt>
                <c:pt idx="2">
                  <c:v>0.11544427073468796</c:v>
                </c:pt>
                <c:pt idx="3">
                  <c:v>0.11321107515252377</c:v>
                </c:pt>
                <c:pt idx="4">
                  <c:v>0.1241335335543918</c:v>
                </c:pt>
                <c:pt idx="5">
                  <c:v>0.15761280586021714</c:v>
                </c:pt>
                <c:pt idx="6">
                  <c:v>0.12924646630145323</c:v>
                </c:pt>
                <c:pt idx="7">
                  <c:v>0.1340212702024047</c:v>
                </c:pt>
                <c:pt idx="8">
                  <c:v>0.15534005510745924</c:v>
                </c:pt>
                <c:pt idx="9">
                  <c:v>0.11513596708118491</c:v>
                </c:pt>
                <c:pt idx="10">
                  <c:v>0.0716006171179444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'10-Year Returns'!$A$6</c:f>
              <c:strCache>
                <c:ptCount val="1"/>
                <c:pt idx="0">
                  <c:v>S&amp;P 500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Returns'!$B$6:$L$6</c:f>
              <c:numCache>
                <c:ptCount val="11"/>
                <c:pt idx="0">
                  <c:v>0.15706083237194185</c:v>
                </c:pt>
                <c:pt idx="1">
                  <c:v>0.14167945594169573</c:v>
                </c:pt>
                <c:pt idx="2">
                  <c:v>0.1425799570433374</c:v>
                </c:pt>
                <c:pt idx="3">
                  <c:v>0.14664539122299441</c:v>
                </c:pt>
                <c:pt idx="4">
                  <c:v>0.15579348276625365</c:v>
                </c:pt>
                <c:pt idx="5">
                  <c:v>0.18485418934926812</c:v>
                </c:pt>
                <c:pt idx="6">
                  <c:v>0.21350128382202946</c:v>
                </c:pt>
                <c:pt idx="7">
                  <c:v>0.2060478546590287</c:v>
                </c:pt>
                <c:pt idx="8">
                  <c:v>0.1761107943464772</c:v>
                </c:pt>
                <c:pt idx="9">
                  <c:v>0.12313132300042964</c:v>
                </c:pt>
                <c:pt idx="10">
                  <c:v>0.08793217200266368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'10-Year Returns'!$A$7</c:f>
              <c:strCache>
                <c:ptCount val="1"/>
                <c:pt idx="0">
                  <c:v>S&amp;P 500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Returns'!$B$7:$L$7</c:f>
              <c:numCache>
                <c:ptCount val="11"/>
                <c:pt idx="0">
                  <c:v>0.16171029231178521</c:v>
                </c:pt>
                <c:pt idx="1">
                  <c:v>0.14930105117720469</c:v>
                </c:pt>
                <c:pt idx="2">
                  <c:v>0.1438320308424401</c:v>
                </c:pt>
                <c:pt idx="3">
                  <c:v>0.14881293092501954</c:v>
                </c:pt>
                <c:pt idx="4">
                  <c:v>0.15289991327318553</c:v>
                </c:pt>
                <c:pt idx="5">
                  <c:v>0.18051620964700732</c:v>
                </c:pt>
                <c:pt idx="6">
                  <c:v>0.1921083153987781</c:v>
                </c:pt>
                <c:pt idx="7">
                  <c:v>0.18209758230013995</c:v>
                </c:pt>
                <c:pt idx="8">
                  <c:v>0.174577890813475</c:v>
                </c:pt>
                <c:pt idx="9">
                  <c:v>0.12937508977776208</c:v>
                </c:pt>
                <c:pt idx="10">
                  <c:v>0.09345937242387753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'10-Year Returns'!$A$8</c:f>
              <c:strCache>
                <c:ptCount val="1"/>
                <c:pt idx="0">
                  <c:v>S&amp;P/Barra 500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Returns'!$B$8:$L$8</c:f>
              <c:numCache>
                <c:ptCount val="11"/>
                <c:pt idx="0">
                  <c:v>0.1626221666407581</c:v>
                </c:pt>
                <c:pt idx="1">
                  <c:v>0.15300839289509638</c:v>
                </c:pt>
                <c:pt idx="2">
                  <c:v>0.14080007024592425</c:v>
                </c:pt>
                <c:pt idx="3">
                  <c:v>0.14707318025797997</c:v>
                </c:pt>
                <c:pt idx="4">
                  <c:v>0.1473839166228388</c:v>
                </c:pt>
                <c:pt idx="5">
                  <c:v>0.17361840687557337</c:v>
                </c:pt>
                <c:pt idx="6">
                  <c:v>0.16670515501367583</c:v>
                </c:pt>
                <c:pt idx="7">
                  <c:v>0.15366409163806505</c:v>
                </c:pt>
                <c:pt idx="8">
                  <c:v>0.16875757967476282</c:v>
                </c:pt>
                <c:pt idx="9">
                  <c:v>0.13104716848022577</c:v>
                </c:pt>
                <c:pt idx="10">
                  <c:v>0.10628059267354434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'10-Year Returns'!$A$9</c:f>
              <c:strCache>
                <c:ptCount val="1"/>
                <c:pt idx="0">
                  <c:v>Russell 2000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Returns'!$B$9:$L$9</c:f>
              <c:numCache>
                <c:ptCount val="11"/>
                <c:pt idx="0">
                  <c:v>0.09103440244686019</c:v>
                </c:pt>
                <c:pt idx="1">
                  <c:v>0.08472461851979939</c:v>
                </c:pt>
                <c:pt idx="2">
                  <c:v>0.10087016854873619</c:v>
                </c:pt>
                <c:pt idx="3">
                  <c:v>0.10092899299971832</c:v>
                </c:pt>
                <c:pt idx="4">
                  <c:v>0.10888075316388314</c:v>
                </c:pt>
                <c:pt idx="5">
                  <c:v>0.1349422692082601</c:v>
                </c:pt>
                <c:pt idx="6">
                  <c:v>0.11544782433768025</c:v>
                </c:pt>
                <c:pt idx="7">
                  <c:v>0.13510019202066</c:v>
                </c:pt>
                <c:pt idx="8">
                  <c:v>0.128018152230932</c:v>
                </c:pt>
                <c:pt idx="9">
                  <c:v>0.07191633170232477</c:v>
                </c:pt>
                <c:pt idx="10">
                  <c:v>0.02626447073754262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'10-Year Returns'!$A$10</c:f>
              <c:strCache>
                <c:ptCount val="1"/>
                <c:pt idx="0">
                  <c:v>MSCI/EAFE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'10-Year Returns'!$B$2:$L$2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'10-Year Returns'!$B$10:$L$10</c:f>
              <c:numCache>
                <c:ptCount val="11"/>
                <c:pt idx="0">
                  <c:v>0.16694092476044967</c:v>
                </c:pt>
                <c:pt idx="1">
                  <c:v>0.17505971526879083</c:v>
                </c:pt>
                <c:pt idx="2">
                  <c:v>0.17546386721544102</c:v>
                </c:pt>
                <c:pt idx="3">
                  <c:v>0.1362456939660291</c:v>
                </c:pt>
                <c:pt idx="4">
                  <c:v>0.0842179609988626</c:v>
                </c:pt>
                <c:pt idx="5">
                  <c:v>0.06247103231513355</c:v>
                </c:pt>
                <c:pt idx="6">
                  <c:v>0.05542189413922182</c:v>
                </c:pt>
                <c:pt idx="7">
                  <c:v>0.07015028998165995</c:v>
                </c:pt>
                <c:pt idx="8">
                  <c:v>0.08246575349482504</c:v>
                </c:pt>
                <c:pt idx="9">
                  <c:v>0.04461981020650175</c:v>
                </c:pt>
                <c:pt idx="10">
                  <c:v>0.04005870396359081</c:v>
                </c:pt>
              </c:numCache>
            </c:numRef>
          </c:val>
          <c:smooth val="0"/>
        </c:ser>
        <c:axId val="44574238"/>
        <c:axId val="65623823"/>
      </c:lineChart>
      <c:catAx>
        <c:axId val="4457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623823"/>
        <c:crosses val="autoZero"/>
        <c:auto val="1"/>
        <c:lblOffset val="100"/>
        <c:noMultiLvlLbl val="0"/>
      </c:catAx>
      <c:valAx>
        <c:axId val="6562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 (in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57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2"/>
          <c:w val="0.99025"/>
          <c:h val="0.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3" sqref="L13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5" width="5.8515625" style="0" customWidth="1"/>
    <col min="6" max="6" width="6.7109375" style="0" customWidth="1"/>
    <col min="7" max="22" width="5.8515625" style="0" customWidth="1"/>
    <col min="23" max="23" width="14.57421875" style="0" customWidth="1"/>
  </cols>
  <sheetData>
    <row r="1" spans="1:23" ht="16.5" thickBot="1">
      <c r="A1" s="11" t="s">
        <v>9</v>
      </c>
      <c r="B1" s="12">
        <v>1982</v>
      </c>
      <c r="C1" s="3">
        <f>B1+1</f>
        <v>1983</v>
      </c>
      <c r="D1" s="3">
        <f aca="true" t="shared" si="0" ref="D1:U1">C1+1</f>
        <v>1984</v>
      </c>
      <c r="E1" s="3">
        <f t="shared" si="0"/>
        <v>1985</v>
      </c>
      <c r="F1" s="3">
        <f t="shared" si="0"/>
        <v>1986</v>
      </c>
      <c r="G1" s="3">
        <f t="shared" si="0"/>
        <v>1987</v>
      </c>
      <c r="H1" s="3">
        <f t="shared" si="0"/>
        <v>1988</v>
      </c>
      <c r="I1" s="3">
        <f t="shared" si="0"/>
        <v>1989</v>
      </c>
      <c r="J1" s="3">
        <f t="shared" si="0"/>
        <v>1990</v>
      </c>
      <c r="K1" s="3">
        <f t="shared" si="0"/>
        <v>1991</v>
      </c>
      <c r="L1" s="3">
        <f t="shared" si="0"/>
        <v>1992</v>
      </c>
      <c r="M1" s="3">
        <f t="shared" si="0"/>
        <v>1993</v>
      </c>
      <c r="N1" s="3">
        <f t="shared" si="0"/>
        <v>1994</v>
      </c>
      <c r="O1" s="3">
        <f t="shared" si="0"/>
        <v>1995</v>
      </c>
      <c r="P1" s="3">
        <f>O1+1</f>
        <v>1996</v>
      </c>
      <c r="Q1" s="3">
        <f t="shared" si="0"/>
        <v>1997</v>
      </c>
      <c r="R1" s="3">
        <f t="shared" si="0"/>
        <v>1998</v>
      </c>
      <c r="S1" s="3">
        <f t="shared" si="0"/>
        <v>1999</v>
      </c>
      <c r="T1" s="3">
        <f t="shared" si="0"/>
        <v>2000</v>
      </c>
      <c r="U1" s="3">
        <f t="shared" si="0"/>
        <v>2001</v>
      </c>
      <c r="V1" s="3">
        <v>2002</v>
      </c>
      <c r="W1" s="4" t="s">
        <v>8</v>
      </c>
    </row>
    <row r="2" spans="1:23" ht="15.75">
      <c r="A2" s="10" t="s">
        <v>0</v>
      </c>
      <c r="B2" s="2">
        <v>8</v>
      </c>
      <c r="C2" s="2">
        <v>1</v>
      </c>
      <c r="D2" s="2">
        <v>8</v>
      </c>
      <c r="E2" s="2">
        <v>1</v>
      </c>
      <c r="F2" s="2">
        <v>5</v>
      </c>
      <c r="G2" s="2">
        <v>4</v>
      </c>
      <c r="H2" s="2">
        <v>1</v>
      </c>
      <c r="I2" s="2">
        <v>3</v>
      </c>
      <c r="J2" s="2">
        <v>8</v>
      </c>
      <c r="K2" s="2">
        <v>2</v>
      </c>
      <c r="L2" s="2">
        <v>3</v>
      </c>
      <c r="M2" s="2">
        <v>2</v>
      </c>
      <c r="N2" s="2">
        <v>1</v>
      </c>
      <c r="O2" s="2">
        <v>2</v>
      </c>
      <c r="P2" s="2">
        <v>1</v>
      </c>
      <c r="Q2" s="2">
        <v>2</v>
      </c>
      <c r="R2" s="2">
        <v>4</v>
      </c>
      <c r="S2" s="2">
        <v>2</v>
      </c>
      <c r="T2" s="2">
        <v>7</v>
      </c>
      <c r="U2" s="2">
        <v>7</v>
      </c>
      <c r="V2" s="2">
        <v>8</v>
      </c>
      <c r="W2" s="5">
        <f aca="true" t="shared" si="1" ref="W2:W9">SUM(B2:V2)</f>
        <v>80</v>
      </c>
    </row>
    <row r="3" spans="1:23" ht="15.75">
      <c r="A3" s="1" t="s">
        <v>1</v>
      </c>
      <c r="B3" s="2">
        <v>7</v>
      </c>
      <c r="C3" s="2">
        <v>8</v>
      </c>
      <c r="D3" s="2">
        <v>3</v>
      </c>
      <c r="E3" s="2">
        <v>4</v>
      </c>
      <c r="F3" s="2">
        <v>3</v>
      </c>
      <c r="G3" s="2">
        <v>3</v>
      </c>
      <c r="H3" s="2">
        <v>8</v>
      </c>
      <c r="I3" s="2">
        <v>2</v>
      </c>
      <c r="J3" s="2">
        <v>2</v>
      </c>
      <c r="K3" s="2">
        <v>6</v>
      </c>
      <c r="L3" s="2">
        <v>8</v>
      </c>
      <c r="M3" s="2">
        <v>7</v>
      </c>
      <c r="N3" s="2">
        <v>4</v>
      </c>
      <c r="O3" s="2">
        <v>3</v>
      </c>
      <c r="P3" s="2">
        <v>5</v>
      </c>
      <c r="Q3" s="2">
        <v>6</v>
      </c>
      <c r="R3" s="2">
        <v>1</v>
      </c>
      <c r="S3" s="2">
        <v>1</v>
      </c>
      <c r="T3" s="2">
        <v>8</v>
      </c>
      <c r="U3" s="2">
        <v>8</v>
      </c>
      <c r="V3" s="2">
        <v>7</v>
      </c>
      <c r="W3" s="5">
        <f t="shared" si="1"/>
        <v>104</v>
      </c>
    </row>
    <row r="4" spans="1:23" ht="15.75">
      <c r="A4" s="1" t="s">
        <v>6</v>
      </c>
      <c r="B4" s="2">
        <v>6</v>
      </c>
      <c r="C4" s="2">
        <v>7</v>
      </c>
      <c r="D4" s="2">
        <v>2</v>
      </c>
      <c r="E4" s="2">
        <v>5</v>
      </c>
      <c r="F4" s="2">
        <v>2</v>
      </c>
      <c r="G4" s="2">
        <v>2</v>
      </c>
      <c r="H4" s="2">
        <v>6</v>
      </c>
      <c r="I4" s="2">
        <v>4</v>
      </c>
      <c r="J4" s="2">
        <v>3</v>
      </c>
      <c r="K4" s="2">
        <v>7</v>
      </c>
      <c r="L4" s="2">
        <v>7</v>
      </c>
      <c r="M4" s="2">
        <v>6</v>
      </c>
      <c r="N4" s="2">
        <v>3</v>
      </c>
      <c r="O4" s="2">
        <v>4</v>
      </c>
      <c r="P4" s="2">
        <v>4</v>
      </c>
      <c r="Q4" s="2">
        <v>4</v>
      </c>
      <c r="R4" s="2">
        <v>2</v>
      </c>
      <c r="S4" s="2">
        <v>5</v>
      </c>
      <c r="T4" s="2">
        <v>5</v>
      </c>
      <c r="U4" s="2">
        <v>6</v>
      </c>
      <c r="V4" s="2">
        <v>5</v>
      </c>
      <c r="W4" s="5">
        <f t="shared" si="1"/>
        <v>95</v>
      </c>
    </row>
    <row r="5" spans="1:23" ht="15.75">
      <c r="A5" s="1" t="s">
        <v>3</v>
      </c>
      <c r="B5" s="2">
        <v>5</v>
      </c>
      <c r="C5" s="2">
        <v>2</v>
      </c>
      <c r="D5" s="2">
        <v>4</v>
      </c>
      <c r="E5" s="2">
        <v>7</v>
      </c>
      <c r="F5" s="2">
        <v>4</v>
      </c>
      <c r="G5" s="2">
        <v>7</v>
      </c>
      <c r="H5" s="2">
        <v>4</v>
      </c>
      <c r="I5" s="2">
        <v>8</v>
      </c>
      <c r="J5" s="2">
        <v>7</v>
      </c>
      <c r="K5" s="2">
        <v>5</v>
      </c>
      <c r="L5" s="2">
        <v>2</v>
      </c>
      <c r="M5" s="2">
        <v>1</v>
      </c>
      <c r="N5" s="2">
        <v>7</v>
      </c>
      <c r="O5" s="2">
        <v>8</v>
      </c>
      <c r="P5" s="2">
        <v>8</v>
      </c>
      <c r="Q5" s="2">
        <v>8</v>
      </c>
      <c r="R5" s="2">
        <v>8</v>
      </c>
      <c r="S5" s="2">
        <v>7</v>
      </c>
      <c r="T5" s="2">
        <v>2</v>
      </c>
      <c r="U5" s="2">
        <v>2</v>
      </c>
      <c r="V5" s="2">
        <v>2</v>
      </c>
      <c r="W5" s="5">
        <f t="shared" si="1"/>
        <v>108</v>
      </c>
    </row>
    <row r="6" spans="1:23" ht="15.75">
      <c r="A6" s="1" t="s">
        <v>4</v>
      </c>
      <c r="B6" s="2">
        <v>4</v>
      </c>
      <c r="C6" s="2">
        <v>4</v>
      </c>
      <c r="D6" s="2">
        <v>5</v>
      </c>
      <c r="E6" s="2">
        <v>6</v>
      </c>
      <c r="F6" s="2">
        <v>6</v>
      </c>
      <c r="G6" s="2">
        <v>6</v>
      </c>
      <c r="H6" s="2">
        <v>3</v>
      </c>
      <c r="I6" s="2">
        <v>7</v>
      </c>
      <c r="J6" s="2">
        <v>6</v>
      </c>
      <c r="K6" s="2">
        <v>4</v>
      </c>
      <c r="L6" s="2">
        <v>4</v>
      </c>
      <c r="M6" s="2">
        <v>3</v>
      </c>
      <c r="N6" s="2">
        <v>6</v>
      </c>
      <c r="O6" s="2">
        <v>7</v>
      </c>
      <c r="P6" s="2">
        <v>7</v>
      </c>
      <c r="Q6" s="2">
        <v>7</v>
      </c>
      <c r="R6" s="2">
        <v>7</v>
      </c>
      <c r="S6" s="2">
        <v>4</v>
      </c>
      <c r="T6" s="2">
        <v>4</v>
      </c>
      <c r="U6" s="2">
        <v>3</v>
      </c>
      <c r="V6" s="2">
        <v>3</v>
      </c>
      <c r="W6" s="5">
        <f t="shared" si="1"/>
        <v>106</v>
      </c>
    </row>
    <row r="7" spans="1:23" ht="15.75">
      <c r="A7" s="1" t="s">
        <v>5</v>
      </c>
      <c r="B7" s="2">
        <v>3</v>
      </c>
      <c r="C7" s="2">
        <v>6</v>
      </c>
      <c r="D7" s="2">
        <v>7</v>
      </c>
      <c r="E7" s="2">
        <v>4</v>
      </c>
      <c r="F7" s="2">
        <v>7</v>
      </c>
      <c r="G7" s="2">
        <v>5</v>
      </c>
      <c r="H7" s="2">
        <v>5</v>
      </c>
      <c r="I7" s="2">
        <v>6</v>
      </c>
      <c r="J7" s="2">
        <v>2</v>
      </c>
      <c r="K7" s="2">
        <v>3</v>
      </c>
      <c r="L7" s="2">
        <v>6</v>
      </c>
      <c r="M7" s="2">
        <v>5</v>
      </c>
      <c r="N7" s="2">
        <v>5</v>
      </c>
      <c r="O7" s="2">
        <v>6</v>
      </c>
      <c r="P7" s="2">
        <v>6</v>
      </c>
      <c r="Q7" s="2">
        <v>5</v>
      </c>
      <c r="R7" s="2">
        <v>5</v>
      </c>
      <c r="S7" s="2">
        <v>3</v>
      </c>
      <c r="T7" s="2">
        <v>6</v>
      </c>
      <c r="U7" s="2">
        <v>4</v>
      </c>
      <c r="V7" s="2">
        <v>4</v>
      </c>
      <c r="W7" s="5">
        <f t="shared" si="1"/>
        <v>103</v>
      </c>
    </row>
    <row r="8" spans="1:23" ht="15.75">
      <c r="A8" s="1" t="s">
        <v>2</v>
      </c>
      <c r="B8" s="2">
        <v>2</v>
      </c>
      <c r="C8" s="2">
        <v>3</v>
      </c>
      <c r="D8" s="2">
        <v>1</v>
      </c>
      <c r="E8" s="2">
        <v>3</v>
      </c>
      <c r="F8" s="2">
        <v>1</v>
      </c>
      <c r="G8" s="2">
        <v>1</v>
      </c>
      <c r="H8" s="2">
        <v>4</v>
      </c>
      <c r="I8" s="2">
        <v>5</v>
      </c>
      <c r="J8" s="2">
        <v>4</v>
      </c>
      <c r="K8" s="2">
        <v>8</v>
      </c>
      <c r="L8" s="2">
        <v>5</v>
      </c>
      <c r="M8" s="2">
        <v>4</v>
      </c>
      <c r="N8" s="2">
        <v>2</v>
      </c>
      <c r="O8" s="2">
        <v>5</v>
      </c>
      <c r="P8" s="2">
        <v>3</v>
      </c>
      <c r="Q8" s="2">
        <v>3</v>
      </c>
      <c r="R8" s="2">
        <v>3</v>
      </c>
      <c r="S8" s="2">
        <v>8</v>
      </c>
      <c r="T8" s="2">
        <v>1</v>
      </c>
      <c r="U8" s="2">
        <v>5</v>
      </c>
      <c r="V8" s="2">
        <v>1</v>
      </c>
      <c r="W8" s="5">
        <f t="shared" si="1"/>
        <v>72</v>
      </c>
    </row>
    <row r="9" spans="1:23" ht="15.75">
      <c r="A9" s="1" t="s">
        <v>7</v>
      </c>
      <c r="B9" s="2">
        <v>1</v>
      </c>
      <c r="C9" s="2">
        <v>5</v>
      </c>
      <c r="D9" s="2">
        <v>6</v>
      </c>
      <c r="E9" s="2">
        <v>8</v>
      </c>
      <c r="F9" s="2">
        <v>8</v>
      </c>
      <c r="G9" s="2">
        <v>8</v>
      </c>
      <c r="H9" s="2">
        <v>7</v>
      </c>
      <c r="I9" s="2">
        <v>1</v>
      </c>
      <c r="J9" s="2">
        <v>1</v>
      </c>
      <c r="K9" s="2">
        <v>1</v>
      </c>
      <c r="L9" s="2">
        <v>1</v>
      </c>
      <c r="M9" s="2">
        <v>8</v>
      </c>
      <c r="N9" s="2">
        <v>8</v>
      </c>
      <c r="O9" s="2">
        <v>1</v>
      </c>
      <c r="P9" s="2">
        <v>2</v>
      </c>
      <c r="Q9" s="2">
        <v>1</v>
      </c>
      <c r="R9" s="2">
        <v>6</v>
      </c>
      <c r="S9" s="2">
        <v>6</v>
      </c>
      <c r="T9" s="2">
        <v>3</v>
      </c>
      <c r="U9" s="2">
        <v>1</v>
      </c>
      <c r="V9" s="2">
        <v>6</v>
      </c>
      <c r="W9" s="5">
        <f t="shared" si="1"/>
        <v>89</v>
      </c>
    </row>
    <row r="11" ht="13.5" thickBot="1"/>
    <row r="12" spans="1:22" ht="16.5" thickBot="1">
      <c r="A12" s="16" t="s">
        <v>9</v>
      </c>
      <c r="B12" s="18">
        <f>B1</f>
        <v>1982</v>
      </c>
      <c r="C12" s="18">
        <f aca="true" t="shared" si="2" ref="C12:V12">C1</f>
        <v>1983</v>
      </c>
      <c r="D12" s="18">
        <f t="shared" si="2"/>
        <v>1984</v>
      </c>
      <c r="E12" s="18">
        <f t="shared" si="2"/>
        <v>1985</v>
      </c>
      <c r="F12" s="18">
        <f t="shared" si="2"/>
        <v>1986</v>
      </c>
      <c r="G12" s="18">
        <f t="shared" si="2"/>
        <v>1987</v>
      </c>
      <c r="H12" s="18">
        <f t="shared" si="2"/>
        <v>1988</v>
      </c>
      <c r="I12" s="18">
        <f t="shared" si="2"/>
        <v>1989</v>
      </c>
      <c r="J12" s="18">
        <f t="shared" si="2"/>
        <v>1990</v>
      </c>
      <c r="K12" s="18">
        <f t="shared" si="2"/>
        <v>1991</v>
      </c>
      <c r="L12" s="18">
        <f t="shared" si="2"/>
        <v>1992</v>
      </c>
      <c r="M12" s="18">
        <f t="shared" si="2"/>
        <v>1993</v>
      </c>
      <c r="N12" s="18">
        <f t="shared" si="2"/>
        <v>1994</v>
      </c>
      <c r="O12" s="18">
        <f t="shared" si="2"/>
        <v>1995</v>
      </c>
      <c r="P12" s="18">
        <f t="shared" si="2"/>
        <v>1996</v>
      </c>
      <c r="Q12" s="18">
        <f t="shared" si="2"/>
        <v>1997</v>
      </c>
      <c r="R12" s="18">
        <f t="shared" si="2"/>
        <v>1998</v>
      </c>
      <c r="S12" s="18">
        <f t="shared" si="2"/>
        <v>1999</v>
      </c>
      <c r="T12" s="18">
        <f t="shared" si="2"/>
        <v>2000</v>
      </c>
      <c r="U12" s="18">
        <f t="shared" si="2"/>
        <v>2001</v>
      </c>
      <c r="V12" s="18">
        <f t="shared" si="2"/>
        <v>2002</v>
      </c>
    </row>
    <row r="13" spans="1:23" ht="15.75">
      <c r="A13" s="10" t="s">
        <v>0</v>
      </c>
      <c r="B13" s="17">
        <f>1000*1.3265</f>
        <v>1326.5</v>
      </c>
      <c r="C13" s="17">
        <f>B13*1.0819</f>
        <v>1435.1403500000001</v>
      </c>
      <c r="D13" s="17">
        <f>C13*1.1515</f>
        <v>1652.564113025</v>
      </c>
      <c r="E13" s="17">
        <f>D13*1.2213</f>
        <v>2018.2765512374326</v>
      </c>
      <c r="F13" s="21">
        <f>E13*1.153</f>
        <v>2327.07286357676</v>
      </c>
      <c r="G13" s="17">
        <f>F13*1.0275</f>
        <v>2391.0673673251213</v>
      </c>
      <c r="H13" s="17">
        <f>G13*1.0789</f>
        <v>2579.7225826070735</v>
      </c>
      <c r="I13" s="17">
        <f>H13*1.1453</f>
        <v>2954.556273859881</v>
      </c>
      <c r="J13" s="17">
        <f>I13*1.0896</f>
        <v>3219.284515997726</v>
      </c>
      <c r="K13" s="17">
        <f>J13*1.16</f>
        <v>3734.370038557362</v>
      </c>
      <c r="L13" s="17">
        <f>K13*1.074</f>
        <v>4010.713421410607</v>
      </c>
      <c r="M13" s="17">
        <f>L13*1.0975</f>
        <v>4401.757979998141</v>
      </c>
      <c r="N13" s="17">
        <f>M13*0.9708</f>
        <v>4273.226646982195</v>
      </c>
      <c r="O13" s="17">
        <f>N13*1.1846</f>
        <v>5062.064286015109</v>
      </c>
      <c r="P13" s="17">
        <f>O13*1.0364</f>
        <v>5246.323426026059</v>
      </c>
      <c r="Q13" s="17">
        <f>P13*1.0964</f>
        <v>5752.069004294971</v>
      </c>
      <c r="R13" s="17">
        <f>Q13*1.087</f>
        <v>6252.499007668634</v>
      </c>
      <c r="S13" s="17">
        <f>R13*0.9918</f>
        <v>6201.228515805751</v>
      </c>
      <c r="T13" s="17">
        <f>S13*1.1163</f>
        <v>6922.43139219396</v>
      </c>
      <c r="U13" s="17">
        <f>T13*1.0844</f>
        <v>7506.68460169513</v>
      </c>
      <c r="V13" s="17">
        <f>U13*1.1025</f>
        <v>8276.119773368882</v>
      </c>
      <c r="W13" s="6">
        <f>V13</f>
        <v>8276.119773368882</v>
      </c>
    </row>
    <row r="14" spans="1:23" ht="15.75">
      <c r="A14" s="1" t="s">
        <v>1</v>
      </c>
      <c r="B14" s="17">
        <f>1000*1.2852</f>
        <v>1285.1999999999998</v>
      </c>
      <c r="C14" s="17">
        <f>B14*1.3863</f>
        <v>1781.67276</v>
      </c>
      <c r="D14" s="17">
        <f>C14*1.0227</f>
        <v>1822.1167316519998</v>
      </c>
      <c r="E14" s="17">
        <f>D14*1.3101</f>
        <v>2387.155130137285</v>
      </c>
      <c r="F14" s="21">
        <f>E14*1.0741</f>
        <v>2564.0433252804582</v>
      </c>
      <c r="G14" s="17">
        <f>F14*0.9288</f>
        <v>2381.4834405204897</v>
      </c>
      <c r="H14" s="17">
        <f>G14*1.2947</f>
        <v>3083.306610441878</v>
      </c>
      <c r="I14" s="17">
        <f>H14*1.1243</f>
        <v>3466.561622119804</v>
      </c>
      <c r="J14" s="17">
        <f>I14*0.7823</f>
        <v>2711.8911569843226</v>
      </c>
      <c r="K14" s="17">
        <f>J14*1.417</f>
        <v>3842.749769446785</v>
      </c>
      <c r="L14" s="17">
        <f>K14*1.2915</f>
        <v>4962.911327240524</v>
      </c>
      <c r="M14" s="17">
        <f>L14*1.2386</f>
        <v>6147.0619699201125</v>
      </c>
      <c r="N14" s="17">
        <f>M14*0.9845</f>
        <v>6051.782509386351</v>
      </c>
      <c r="O14" s="17">
        <f>N14*1.2575</f>
        <v>7610.116505553337</v>
      </c>
      <c r="P14" s="17">
        <f>O14*1.2137</f>
        <v>9236.398402790086</v>
      </c>
      <c r="Q14" s="17">
        <f>P14*1.3178</f>
        <v>12171.725815196776</v>
      </c>
      <c r="R14" s="17">
        <f>Q14*0.9354</f>
        <v>11385.432327535065</v>
      </c>
      <c r="S14" s="17">
        <f>R14*0.9852</f>
        <v>11216.927929087546</v>
      </c>
      <c r="T14" s="17">
        <f>S14*1.2283</f>
        <v>13777.752575298231</v>
      </c>
      <c r="U14" s="17">
        <f>T14*1.1403</f>
        <v>15710.771261612574</v>
      </c>
      <c r="V14" s="17">
        <f>U14*0.7952</f>
        <v>12493.205307234319</v>
      </c>
      <c r="W14" s="6">
        <f aca="true" t="shared" si="3" ref="W14:W20">V14</f>
        <v>12493.205307234319</v>
      </c>
    </row>
    <row r="15" spans="1:23" ht="15.75">
      <c r="A15" s="1" t="s">
        <v>6</v>
      </c>
      <c r="B15" s="17">
        <f>1000*1.2495</f>
        <v>1249.5</v>
      </c>
      <c r="C15" s="17">
        <f>B15*1.2913</f>
        <v>1613.4793499999998</v>
      </c>
      <c r="D15" s="17">
        <f>C15*0.9287</f>
        <v>1498.4382723449999</v>
      </c>
      <c r="E15" s="17">
        <f>D15*1.3104</f>
        <v>1963.553512080888</v>
      </c>
      <c r="F15" s="21">
        <f>E15*1.0569</f>
        <v>2075.2797069182902</v>
      </c>
      <c r="G15" s="17">
        <f>F15*0.9124</f>
        <v>1893.485204592248</v>
      </c>
      <c r="H15" s="22">
        <f>G15*1.2489</f>
        <v>2364.7736720152584</v>
      </c>
      <c r="I15" s="17">
        <f>H15*1.1625</f>
        <v>2749.049393717738</v>
      </c>
      <c r="J15" s="17">
        <f>I15*0.805</f>
        <v>2212.984761942779</v>
      </c>
      <c r="K15" s="17">
        <f>J15*1.4605</f>
        <v>3232.064244817429</v>
      </c>
      <c r="L15" s="17">
        <f>K15*1.1842</f>
        <v>3827.410478712799</v>
      </c>
      <c r="M15" s="17">
        <f>L15*1.1889</f>
        <v>4550.408318141647</v>
      </c>
      <c r="N15" s="17">
        <f>M15*0.9819</f>
        <v>4468.045927583284</v>
      </c>
      <c r="O15" s="17">
        <f>N15*1.2844</f>
        <v>5738.75818938797</v>
      </c>
      <c r="P15" s="17">
        <f>O15*1.1653</f>
        <v>6687.374918093801</v>
      </c>
      <c r="Q15" s="17">
        <f>P15*1.2236</f>
        <v>8182.671949779576</v>
      </c>
      <c r="R15" s="17">
        <f>Q15*0.9745</f>
        <v>7974.013815060197</v>
      </c>
      <c r="S15" s="17">
        <f>R15*1.2126</f>
        <v>9669.289152141993</v>
      </c>
      <c r="T15" s="17">
        <f>S15*0.9698</f>
        <v>9377.276619747305</v>
      </c>
      <c r="U15" s="17">
        <f>T15*1.0249</f>
        <v>9610.770807579012</v>
      </c>
      <c r="V15" s="17">
        <f>U15*0.7952</f>
        <v>7642.484946186831</v>
      </c>
      <c r="W15" s="6">
        <f t="shared" si="3"/>
        <v>7642.484946186831</v>
      </c>
    </row>
    <row r="16" spans="1:23" ht="15.75">
      <c r="A16" s="1" t="s">
        <v>3</v>
      </c>
      <c r="B16" s="17">
        <f>1000*1.2203</f>
        <v>1220.3</v>
      </c>
      <c r="C16" s="17">
        <f>B16*1.1624</f>
        <v>1418.4767200000001</v>
      </c>
      <c r="D16" s="17">
        <f>C16*1.0233</f>
        <v>1451.5272275760003</v>
      </c>
      <c r="E16" s="17">
        <f>D16*1.3331</f>
        <v>1935.030947081566</v>
      </c>
      <c r="F16" s="21">
        <f>E16*1.145</f>
        <v>2215.610434408393</v>
      </c>
      <c r="G16" s="17">
        <f>F16*1.065</f>
        <v>2359.6251126449383</v>
      </c>
      <c r="H16" s="17">
        <f>G16*1.1195</f>
        <v>2641.6003136060085</v>
      </c>
      <c r="I16" s="17">
        <f>H16*1.364</f>
        <v>3603.142827758596</v>
      </c>
      <c r="J16" s="17">
        <f>I16*1.002</f>
        <v>3610.349113414113</v>
      </c>
      <c r="K16" s="17">
        <f>J16*1.3837</f>
        <v>4995.640068231108</v>
      </c>
      <c r="L16" s="17">
        <f>K16*1.0506</f>
        <v>5248.419455683602</v>
      </c>
      <c r="M16" s="17">
        <f>L16*1.0168</f>
        <v>5336.592902539086</v>
      </c>
      <c r="N16" s="17">
        <f>M16*1.0314</f>
        <v>5504.161919678814</v>
      </c>
      <c r="O16" s="17">
        <f>N16*1.3813</f>
        <v>7602.898859652346</v>
      </c>
      <c r="P16" s="17">
        <f>O16*1.2397</f>
        <v>9425.313716311013</v>
      </c>
      <c r="Q16" s="17">
        <f>P16*1.3652</f>
        <v>12867.438285507795</v>
      </c>
      <c r="R16" s="17">
        <f>Q16*1.4216</f>
        <v>18292.35026667788</v>
      </c>
      <c r="S16" s="17">
        <f>R16*1.2825</f>
        <v>23459.93921701438</v>
      </c>
      <c r="T16" s="17">
        <f>S16*0.7793</f>
        <v>18282.330631819306</v>
      </c>
      <c r="U16" s="17">
        <f>T16*0.8727</f>
        <v>15954.98994238871</v>
      </c>
      <c r="V16" s="17">
        <f>U16*0.7641</f>
        <v>12191.207814979212</v>
      </c>
      <c r="W16" s="6">
        <f t="shared" si="3"/>
        <v>12191.207814979212</v>
      </c>
    </row>
    <row r="17" spans="1:23" ht="15.75">
      <c r="A17" s="1" t="s">
        <v>4</v>
      </c>
      <c r="B17" s="17">
        <f>1000*1.2155</f>
        <v>1215.5</v>
      </c>
      <c r="C17" s="17">
        <f>B17*1.2256</f>
        <v>1489.7168</v>
      </c>
      <c r="D17" s="17">
        <f>C17*1.0627</f>
        <v>1583.12204336</v>
      </c>
      <c r="E17" s="17">
        <f>D17*1.3173</f>
        <v>2085.4466677181276</v>
      </c>
      <c r="F17" s="21">
        <f>E17*1.1867</f>
        <v>2474.799560581102</v>
      </c>
      <c r="G17" s="17">
        <f>F17*1.0525</f>
        <v>2604.72653751161</v>
      </c>
      <c r="H17" s="17">
        <f>G17*1.1661</f>
        <v>3037.3716153922883</v>
      </c>
      <c r="I17" s="17">
        <f>H17*1.3169</f>
        <v>3999.9146803101044</v>
      </c>
      <c r="J17" s="17">
        <f>I17*0.9689</f>
        <v>3875.51733375246</v>
      </c>
      <c r="K17" s="17">
        <f>J17*1.3047</f>
        <v>5056.387465346835</v>
      </c>
      <c r="L17" s="17">
        <f>K17*1.0762</f>
        <v>5441.684190206263</v>
      </c>
      <c r="M17" s="17">
        <f>L17*1.1008</f>
        <v>5990.205956579055</v>
      </c>
      <c r="N17" s="17">
        <f>M17*1.0132</f>
        <v>6069.276675205899</v>
      </c>
      <c r="O17" s="17">
        <f>N17*1.3758</f>
        <v>8350.110849748275</v>
      </c>
      <c r="P17" s="17">
        <f>O17*1.2296</f>
        <v>10267.29630085048</v>
      </c>
      <c r="Q17" s="17">
        <f>P17*1.3336</f>
        <v>13692.466346814199</v>
      </c>
      <c r="R17" s="17">
        <f>Q17*1.2858</f>
        <v>17605.7732287337</v>
      </c>
      <c r="S17" s="17">
        <f>R17*1.2104</f>
        <v>21310.02791605927</v>
      </c>
      <c r="T17" s="17">
        <f>S17*0.909</f>
        <v>19370.815375697875</v>
      </c>
      <c r="U17" s="17">
        <f>T17*0.8812</f>
        <v>17069.562509064966</v>
      </c>
      <c r="V17" s="17">
        <f>U17*0.779</f>
        <v>13297.18919456161</v>
      </c>
      <c r="W17" s="6">
        <f t="shared" si="3"/>
        <v>13297.18919456161</v>
      </c>
    </row>
    <row r="18" spans="1:23" ht="15.75">
      <c r="A18" s="1" t="s">
        <v>5</v>
      </c>
      <c r="B18" s="17">
        <f>1000*1.2104</f>
        <v>1210.3999999999999</v>
      </c>
      <c r="C18" s="17">
        <f>B18*1.2889</f>
        <v>1560.0845599999998</v>
      </c>
      <c r="D18" s="17">
        <f>C18*1.1052</f>
        <v>1724.2054557119998</v>
      </c>
      <c r="E18" s="17">
        <f>D18*1.2968</f>
        <v>2235.9496349673213</v>
      </c>
      <c r="F18" s="21">
        <f>E18*1.2167</f>
        <v>2720.4799208647396</v>
      </c>
      <c r="G18" s="17">
        <f>F18*1.0368</f>
        <v>2820.5935819525616</v>
      </c>
      <c r="H18" s="17">
        <f>G18*1.2167</f>
        <v>3431.8162111616816</v>
      </c>
      <c r="I18" s="17">
        <f>H18*1.2613</f>
        <v>4328.5497871382295</v>
      </c>
      <c r="J18" s="17">
        <f>I18*0.9315</f>
        <v>4032.044126719261</v>
      </c>
      <c r="K18" s="17">
        <f>J18*1.2256</f>
        <v>4941.673281707126</v>
      </c>
      <c r="L18" s="17">
        <f>K18*1.1052</f>
        <v>5461.5373109427155</v>
      </c>
      <c r="M18" s="17">
        <f>L18*1.1862</f>
        <v>6478.475558240249</v>
      </c>
      <c r="N18" s="17">
        <f>M18*0.9936</f>
        <v>6437.013314667512</v>
      </c>
      <c r="O18" s="17">
        <f>N18*1.3699</f>
        <v>8818.064539763023</v>
      </c>
      <c r="P18" s="17">
        <f>O18*1.22</f>
        <v>10758.038738510888</v>
      </c>
      <c r="Q18" s="17">
        <f>P18*1.2998</f>
        <v>13983.298752316452</v>
      </c>
      <c r="R18" s="17">
        <f>Q18*1.1469</f>
        <v>16037.44533903174</v>
      </c>
      <c r="S18" s="17">
        <f>R18*1.1272</f>
        <v>18077.408386156578</v>
      </c>
      <c r="T18" s="17">
        <f>S18*1.0608</f>
        <v>19176.514816034898</v>
      </c>
      <c r="U18" s="17">
        <f>T18*0.8829</f>
        <v>16930.94493107721</v>
      </c>
      <c r="V18" s="17">
        <f>U18*0.8857</f>
        <v>14995.737925455087</v>
      </c>
      <c r="W18" s="6">
        <f t="shared" si="3"/>
        <v>14995.737925455087</v>
      </c>
    </row>
    <row r="19" spans="1:23" ht="15.75">
      <c r="A19" s="1" t="s">
        <v>2</v>
      </c>
      <c r="B19" s="17">
        <f>1000*1.2099</f>
        <v>1209.8999999999999</v>
      </c>
      <c r="C19" s="17">
        <f>B19*1.2014</f>
        <v>1453.57386</v>
      </c>
      <c r="D19" s="17">
        <f>C19*0.8416</f>
        <v>1223.327760576</v>
      </c>
      <c r="E19" s="17">
        <f>D19*1.3097</f>
        <v>1602.1923680263872</v>
      </c>
      <c r="F19" s="21">
        <f>E19*1.0359</f>
        <v>1659.7110740385344</v>
      </c>
      <c r="G19" s="17">
        <f>F19*0.8952</f>
        <v>1485.773353479296</v>
      </c>
      <c r="H19" s="17">
        <f>G19*1.2038</f>
        <v>1788.5739629183765</v>
      </c>
      <c r="I19" s="17">
        <f>H19*1.2016</f>
        <v>2149.150473842721</v>
      </c>
      <c r="J19" s="17">
        <f>I19*0.8258</f>
        <v>1774.7684612993191</v>
      </c>
      <c r="K19" s="17">
        <f>J19*1.5118</f>
        <v>2683.094959792311</v>
      </c>
      <c r="L19" s="17">
        <f>K19*1.0777</f>
        <v>2891.5714381681737</v>
      </c>
      <c r="M19" s="17">
        <f>L19*1.1337</f>
        <v>3278.174539451258</v>
      </c>
      <c r="N19" s="17">
        <f>M19*0.9756</f>
        <v>3198.1870806886477</v>
      </c>
      <c r="O19" s="17">
        <f>N19*1.3104</f>
        <v>4190.904350534404</v>
      </c>
      <c r="P19" s="17">
        <f>O19*1.1132</f>
        <v>4665.314723014899</v>
      </c>
      <c r="Q19" s="17">
        <f>P19*1.1293</f>
        <v>5268.539916700725</v>
      </c>
      <c r="R19" s="17">
        <f>Q19*1.0123</f>
        <v>5333.342957676145</v>
      </c>
      <c r="S19" s="17">
        <f>R19*1.4309</f>
        <v>7631.480438138796</v>
      </c>
      <c r="T19" s="17">
        <f>S19*0.7757</f>
        <v>5919.739375864264</v>
      </c>
      <c r="U19" s="17">
        <f>T19*0.9077</f>
        <v>5373.347431471992</v>
      </c>
      <c r="V19" s="17">
        <f>U19*0.6974</f>
        <v>3747.3724987085675</v>
      </c>
      <c r="W19" s="6">
        <f t="shared" si="3"/>
        <v>3747.3724987085675</v>
      </c>
    </row>
    <row r="20" spans="1:23" ht="15.75">
      <c r="A20" s="1" t="s">
        <v>7</v>
      </c>
      <c r="B20" s="17">
        <f>1000*0.9814</f>
        <v>981.4000000000001</v>
      </c>
      <c r="C20" s="17">
        <f>B20*1.2369</f>
        <v>1213.8936600000002</v>
      </c>
      <c r="D20" s="17">
        <f>C20*1.0741</f>
        <v>1303.8431802060002</v>
      </c>
      <c r="E20" s="17">
        <f>D20*1.5614</f>
        <v>2035.8207415736485</v>
      </c>
      <c r="F20" s="21">
        <f>E20*1.6946</f>
        <v>3449.901828670705</v>
      </c>
      <c r="G20" s="17">
        <f>F20*1.2464</f>
        <v>4299.957639255166</v>
      </c>
      <c r="H20" s="17">
        <f>G20*1.2826</f>
        <v>5515.125668108676</v>
      </c>
      <c r="I20" s="17">
        <f>H20*1.1053</f>
        <v>6095.8684009605195</v>
      </c>
      <c r="J20" s="17">
        <f>I20*0.7655</f>
        <v>4666.3872609352775</v>
      </c>
      <c r="K20" s="17">
        <f>J20*1.1214</f>
        <v>5232.88667441282</v>
      </c>
      <c r="L20" s="17">
        <f>K20*0.8782</f>
        <v>4595.521077469339</v>
      </c>
      <c r="M20" s="17">
        <f>L20*1.3257</f>
        <v>6092.2822924011025</v>
      </c>
      <c r="N20" s="17">
        <f>M20*1.0778</f>
        <v>6566.261854749909</v>
      </c>
      <c r="O20" s="17">
        <f>N20*1.1121</f>
        <v>7302.339808667374</v>
      </c>
      <c r="P20" s="17">
        <f>O20*1.0605</f>
        <v>7744.131367091751</v>
      </c>
      <c r="Q20" s="17">
        <f>P20*1.0178</f>
        <v>7881.976905425984</v>
      </c>
      <c r="R20" s="17">
        <f>Q20*1.2</f>
        <v>9458.372286511181</v>
      </c>
      <c r="S20" s="17">
        <f>R20*1.2696</f>
        <v>12008.349454954596</v>
      </c>
      <c r="T20" s="17">
        <f>S20*0.8583</f>
        <v>10306.76633718753</v>
      </c>
      <c r="U20" s="17">
        <f>T20*0.7856</f>
        <v>8096.995634494523</v>
      </c>
      <c r="V20" s="17">
        <f>U20*0.8406</f>
        <v>6806.334530356096</v>
      </c>
      <c r="W20" s="6">
        <f t="shared" si="3"/>
        <v>6806.334530356096</v>
      </c>
    </row>
    <row r="21" ht="13.5" thickBot="1"/>
    <row r="22" spans="1:7" ht="13.5" thickBot="1">
      <c r="A22" s="9" t="s">
        <v>11</v>
      </c>
      <c r="B22" s="7" t="s">
        <v>10</v>
      </c>
      <c r="C22" s="7" t="s">
        <v>12</v>
      </c>
      <c r="D22" s="13" t="s">
        <v>13</v>
      </c>
      <c r="E22" s="14"/>
      <c r="F22" s="8" t="s">
        <v>24</v>
      </c>
      <c r="G22" s="15"/>
    </row>
    <row r="23" ht="16.5" thickBot="1">
      <c r="A23" s="11" t="s">
        <v>9</v>
      </c>
    </row>
    <row r="24" spans="1:6" ht="12.75">
      <c r="A24" s="10" t="s">
        <v>14</v>
      </c>
      <c r="B24">
        <v>-8.7</v>
      </c>
      <c r="C24" s="17">
        <v>-6.12</v>
      </c>
      <c r="D24" s="17">
        <v>-0.82</v>
      </c>
      <c r="E24" s="17"/>
      <c r="F24" s="17">
        <v>-6.04</v>
      </c>
    </row>
    <row r="25" spans="1:6" ht="12.75">
      <c r="A25" s="1" t="s">
        <v>15</v>
      </c>
      <c r="B25">
        <v>-8.34</v>
      </c>
      <c r="C25" s="17">
        <v>8.31</v>
      </c>
      <c r="D25" s="17">
        <v>6.81</v>
      </c>
      <c r="E25" s="17"/>
      <c r="F25" s="17">
        <v>8.85</v>
      </c>
    </row>
    <row r="26" spans="1:6" ht="12.75">
      <c r="A26" s="1" t="s">
        <v>16</v>
      </c>
      <c r="B26">
        <v>-15</v>
      </c>
      <c r="C26" s="17">
        <v>7.99</v>
      </c>
      <c r="D26" s="17">
        <v>3.2</v>
      </c>
      <c r="E26" s="17"/>
      <c r="F26" s="17">
        <v>6.37</v>
      </c>
    </row>
    <row r="27" spans="1:6" ht="12.75">
      <c r="A27" s="1" t="s">
        <v>17</v>
      </c>
      <c r="B27">
        <v>-7.57</v>
      </c>
      <c r="C27" s="17">
        <v>-15.75</v>
      </c>
      <c r="D27" s="17">
        <v>-2.07</v>
      </c>
      <c r="E27" s="17"/>
      <c r="F27" s="17">
        <v>-15.12</v>
      </c>
    </row>
    <row r="28" spans="1:6" ht="12.75">
      <c r="A28" s="1" t="s">
        <v>18</v>
      </c>
      <c r="B28">
        <v>-10.19</v>
      </c>
      <c r="C28" s="17">
        <v>-5.62</v>
      </c>
      <c r="D28" s="17">
        <v>7.17</v>
      </c>
      <c r="E28" s="17"/>
      <c r="F28" s="17">
        <v>-9.77</v>
      </c>
    </row>
    <row r="29" spans="1:6" ht="12.75">
      <c r="A29" s="1" t="s">
        <v>19</v>
      </c>
      <c r="B29">
        <v>-6.9</v>
      </c>
      <c r="C29" s="17">
        <v>-2.38</v>
      </c>
      <c r="D29" s="17">
        <v>1.69</v>
      </c>
      <c r="E29" s="17"/>
      <c r="F29" s="17">
        <v>-4.82</v>
      </c>
    </row>
    <row r="30" spans="1:6" ht="12.75">
      <c r="A30" s="1" t="s">
        <v>22</v>
      </c>
      <c r="B30">
        <v>4.18</v>
      </c>
      <c r="C30" s="17">
        <v>14</v>
      </c>
      <c r="D30" s="17" t="s">
        <v>23</v>
      </c>
      <c r="E30" s="17"/>
      <c r="F30" s="17">
        <v>10.85</v>
      </c>
    </row>
    <row r="31" spans="1:6" ht="12.75">
      <c r="A31" s="1" t="s">
        <v>20</v>
      </c>
      <c r="B31">
        <v>-24.63</v>
      </c>
      <c r="C31" s="17">
        <v>-21.06</v>
      </c>
      <c r="D31" s="17">
        <v>-5.11</v>
      </c>
      <c r="E31" s="17"/>
      <c r="F31" s="17">
        <v>-9.79</v>
      </c>
    </row>
    <row r="32" spans="1:6" ht="12.75">
      <c r="A32" s="1" t="s">
        <v>21</v>
      </c>
      <c r="B32">
        <v>-10.61</v>
      </c>
      <c r="C32" s="17">
        <v>-14.93</v>
      </c>
      <c r="D32" s="17">
        <v>-5.88</v>
      </c>
      <c r="E32" s="17"/>
      <c r="F32" s="17">
        <v>-15.85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9.00390625" style="0" bestFit="1" customWidth="1"/>
    <col min="2" max="2" width="9.28125" style="0" bestFit="1" customWidth="1"/>
  </cols>
  <sheetData>
    <row r="1" ht="13.5" thickBot="1"/>
    <row r="2" spans="1:19" ht="16.5" thickBot="1">
      <c r="A2" s="16" t="s">
        <v>25</v>
      </c>
      <c r="B2" s="24">
        <f>Callan!E12</f>
        <v>1985</v>
      </c>
      <c r="C2" s="24">
        <f>Callan!F12</f>
        <v>1986</v>
      </c>
      <c r="D2" s="24">
        <f>Callan!G12</f>
        <v>1987</v>
      </c>
      <c r="E2" s="24">
        <f>Callan!H12</f>
        <v>1988</v>
      </c>
      <c r="F2" s="24">
        <f>Callan!I12</f>
        <v>1989</v>
      </c>
      <c r="G2" s="24">
        <f>Callan!J12</f>
        <v>1990</v>
      </c>
      <c r="H2" s="24">
        <f>Callan!K12</f>
        <v>1991</v>
      </c>
      <c r="I2" s="24">
        <f>Callan!L12</f>
        <v>1992</v>
      </c>
      <c r="J2" s="24">
        <f>Callan!M12</f>
        <v>1993</v>
      </c>
      <c r="K2" s="24">
        <f>Callan!N12</f>
        <v>1994</v>
      </c>
      <c r="L2" s="24">
        <f>Callan!O12</f>
        <v>1995</v>
      </c>
      <c r="M2" s="24">
        <f>Callan!P12</f>
        <v>1996</v>
      </c>
      <c r="N2" s="24">
        <f>Callan!Q12</f>
        <v>1997</v>
      </c>
      <c r="O2" s="24">
        <f>Callan!R12</f>
        <v>1998</v>
      </c>
      <c r="P2" s="24">
        <f>Callan!S12</f>
        <v>1999</v>
      </c>
      <c r="Q2" s="24">
        <f>Callan!T12</f>
        <v>2000</v>
      </c>
      <c r="R2" s="24">
        <f>Callan!U12</f>
        <v>2001</v>
      </c>
      <c r="S2" s="24">
        <f>Callan!V12</f>
        <v>2002</v>
      </c>
    </row>
    <row r="3" spans="1:19" ht="12.75">
      <c r="A3" s="19" t="str">
        <f>Callan!A13</f>
        <v>Long Bonds</v>
      </c>
      <c r="B3" s="20">
        <f>RATE(3,,-Callan!B13,Callan!E13)</f>
        <v>0.15015880030258236</v>
      </c>
      <c r="C3" s="20">
        <f>RATE(3,,-Callan!C13,Callan!F13)</f>
        <v>0.17482145428911477</v>
      </c>
      <c r="D3" s="20">
        <f>RATE(3,,-Callan!D13,Callan!G13)</f>
        <v>0.13103965448613583</v>
      </c>
      <c r="E3" s="20">
        <f>RATE(3,,-Callan!E13,Callan!H13)</f>
        <v>0.08525245507617782</v>
      </c>
      <c r="F3" s="20">
        <f>RATE(3,,-Callan!F13,Callan!I13)</f>
        <v>0.08283120173251461</v>
      </c>
      <c r="G3" s="20">
        <f>RATE(3,,-Callan!G13,Callan!J13)</f>
        <v>0.10422061148464104</v>
      </c>
      <c r="H3" s="20">
        <f>RATE(3,,-Callan!H13,Callan!K13)</f>
        <v>0.13122270886951715</v>
      </c>
      <c r="I3" s="20">
        <f>RATE(3,,-Callan!I13,Callan!L13)</f>
        <v>0.10724345475255219</v>
      </c>
      <c r="J3" s="20">
        <f>RATE(3,,-Callan!J13,Callan!M13)</f>
        <v>0.10991298725441759</v>
      </c>
      <c r="K3" s="20">
        <f>RATE(3,,-Callan!K13,Callan!N13)</f>
        <v>0.04595466036793265</v>
      </c>
      <c r="L3" s="20">
        <f>RATE(3,,-Callan!L13,Callan!O13)</f>
        <v>0.08069217854033746</v>
      </c>
      <c r="M3" s="20">
        <f>RATE(3,,-Callan!M13,Callan!P13)</f>
        <v>0.06025330138684699</v>
      </c>
      <c r="N3" s="20">
        <f>RATE(3,,-Callan!N13,Callan!Q13)</f>
        <v>0.10413638055446607</v>
      </c>
      <c r="O3" s="20">
        <f>RATE(3,,-Callan!O13,Callan!R13)</f>
        <v>0.07293972496884618</v>
      </c>
      <c r="P3" s="20">
        <f>RATE(3,,-Callan!P13,Callan!S13)</f>
        <v>0.057322704841231066</v>
      </c>
      <c r="Q3" s="20">
        <f>RATE(3,,-Callan!Q13,Callan!T13)</f>
        <v>0.06368130011604098</v>
      </c>
      <c r="R3" s="20">
        <f>RATE(3,,-Callan!R13,Callan!U13)</f>
        <v>0.06283254841169421</v>
      </c>
      <c r="S3" s="20">
        <f>RATE(3,,-Callan!S13,Callan!V13)</f>
        <v>0.1009890776930958</v>
      </c>
    </row>
    <row r="4" spans="1:19" ht="12.75">
      <c r="A4" s="19" t="str">
        <f>Callan!A14</f>
        <v>Russell 2000 Value</v>
      </c>
      <c r="B4" s="20">
        <f>RATE(3,,-Callan!B14,Callan!E14)</f>
        <v>0.2292398811171652</v>
      </c>
      <c r="C4" s="20">
        <f>RATE(3,,-Callan!C14,Callan!F14)</f>
        <v>0.1290135123771331</v>
      </c>
      <c r="D4" s="20">
        <f>RATE(3,,-Callan!D14,Callan!G14)</f>
        <v>0.0933447485280339</v>
      </c>
      <c r="E4" s="20">
        <f>RATE(3,,-Callan!E14,Callan!H14)</f>
        <v>0.08904382560081839</v>
      </c>
      <c r="F4" s="20">
        <f>RATE(3,,-Callan!F14,Callan!I14)</f>
        <v>0.10575230953035196</v>
      </c>
      <c r="G4" s="20">
        <f>RATE(3,,-Callan!G14,Callan!J14)</f>
        <v>0.04425900647910263</v>
      </c>
      <c r="H4" s="20">
        <f>RATE(3,,-Callan!H14,Callan!K14)</f>
        <v>0.07615574970798217</v>
      </c>
      <c r="I4" s="20">
        <f>RATE(3,,-Callan!I14,Callan!L14)</f>
        <v>0.1270569558112128</v>
      </c>
      <c r="J4" s="20">
        <f>RATE(3,,-Callan!J14,Callan!M14)</f>
        <v>0.31360596578751615</v>
      </c>
      <c r="K4" s="20">
        <f>RATE(3,,-Callan!K14,Callan!N14)</f>
        <v>0.16344824513872794</v>
      </c>
      <c r="L4" s="20">
        <f>RATE(3,,-Callan!L14,Callan!O14)</f>
        <v>0.15314768098884915</v>
      </c>
      <c r="M4" s="20">
        <f>RATE(3,,-Callan!M14,Callan!P14)</f>
        <v>0.14536793852117344</v>
      </c>
      <c r="N4" s="20">
        <f>RATE(3,,-Callan!N14,Callan!Q14)</f>
        <v>0.2622816910138534</v>
      </c>
      <c r="O4" s="20">
        <f>RATE(3,,-Callan!O14,Callan!R14)</f>
        <v>0.14371918707126363</v>
      </c>
      <c r="P4" s="20">
        <f>RATE(3,,-Callan!P14,Callan!S14)</f>
        <v>0.06690010364157561</v>
      </c>
      <c r="Q4" s="20">
        <f>RATE(3,,-Callan!Q14,Callan!T14)</f>
        <v>0.042178413710899</v>
      </c>
      <c r="R4" s="20">
        <f>RATE(3,,-Callan!R14,Callan!U14)</f>
        <v>0.1133097003182172</v>
      </c>
      <c r="S4" s="20">
        <f>RATE(3,,-Callan!S14,Callan!V14)</f>
        <v>0.03657321504569035</v>
      </c>
    </row>
    <row r="5" spans="1:19" ht="12.75">
      <c r="A5" s="19" t="str">
        <f>Callan!A15</f>
        <v>Russell 2000 Blend</v>
      </c>
      <c r="B5" s="20">
        <f>RATE(3,,-Callan!B15,Callan!E15)</f>
        <v>0.16261385359764105</v>
      </c>
      <c r="C5" s="20">
        <f>RATE(3,,-Callan!C15,Callan!F15)</f>
        <v>0.08752122712240354</v>
      </c>
      <c r="D5" s="20">
        <f>RATE(3,,-Callan!D15,Callan!G15)</f>
        <v>0.08112112368527885</v>
      </c>
      <c r="E5" s="20">
        <f>RATE(3,,-Callan!E15,Callan!H15)</f>
        <v>0.06393626745578847</v>
      </c>
      <c r="F5" s="20">
        <f>RATE(3,,-Callan!F15,Callan!I15)</f>
        <v>0.09825191175224905</v>
      </c>
      <c r="G5" s="20">
        <f>RATE(3,,-Callan!G15,Callan!J15)</f>
        <v>0.05334871352044109</v>
      </c>
      <c r="H5" s="20">
        <f>RATE(3,,-Callan!H15,Callan!K15)</f>
        <v>0.10976272726506256</v>
      </c>
      <c r="I5" s="20">
        <f>RATE(3,,-Callan!I15,Callan!L15)</f>
        <v>0.11662539203893103</v>
      </c>
      <c r="J5" s="20">
        <f>RATE(3,,-Callan!J15,Callan!M15)</f>
        <v>0.27161989801685493</v>
      </c>
      <c r="K5" s="20">
        <f>RATE(3,,-Callan!K15,Callan!N15)</f>
        <v>0.11398467060239502</v>
      </c>
      <c r="L5" s="20">
        <f>RATE(3,,-Callan!L15,Callan!O15)</f>
        <v>0.14455753281997555</v>
      </c>
      <c r="M5" s="20">
        <f>RATE(3,,-Callan!M15,Callan!P15)</f>
        <v>0.13693359913910844</v>
      </c>
      <c r="N5" s="20">
        <f>RATE(3,,-Callan!N15,Callan!Q15)</f>
        <v>0.22346768755607402</v>
      </c>
      <c r="O5" s="20">
        <f>RATE(3,,-Callan!O15,Callan!R15)</f>
        <v>0.11588563296502731</v>
      </c>
      <c r="P5" s="20">
        <f>RATE(3,,-Callan!P15,Callan!S15)</f>
        <v>0.13078392292944968</v>
      </c>
      <c r="Q5" s="20">
        <f>RATE(3,,-Callan!Q15,Callan!T15)</f>
        <v>0.04647099546783421</v>
      </c>
      <c r="R5" s="20">
        <f>RATE(3,,-Callan!R15,Callan!U15)</f>
        <v>0.06420937126737383</v>
      </c>
      <c r="S5" s="20">
        <f>RATE(3,,-Callan!S15,Callan!V15)</f>
        <v>-0.0754153447842912</v>
      </c>
    </row>
    <row r="6" spans="1:19" ht="12.75">
      <c r="A6" s="19" t="str">
        <f>Callan!A16</f>
        <v>S&amp;P 500 Growth</v>
      </c>
      <c r="B6" s="20">
        <f>RATE(3,,-Callan!B16,Callan!E16)</f>
        <v>0.16611245669250196</v>
      </c>
      <c r="C6" s="20">
        <f>RATE(3,,-Callan!C16,Callan!F16)</f>
        <v>0.160264656307461</v>
      </c>
      <c r="D6" s="20">
        <f>RATE(3,,-Callan!D16,Callan!G16)</f>
        <v>0.17581575282607004</v>
      </c>
      <c r="E6" s="20">
        <f>RATE(3,,-Callan!E16,Callan!H16)</f>
        <v>0.10932737635938071</v>
      </c>
      <c r="F6" s="20">
        <f>RATE(3,,-Callan!F16,Callan!I16)</f>
        <v>0.1759694115441481</v>
      </c>
      <c r="G6" s="20">
        <f>RATE(3,,-Callan!G16,Callan!J16)</f>
        <v>0.15230840568547552</v>
      </c>
      <c r="H6" s="20">
        <f>RATE(3,,-Callan!H16,Callan!K16)</f>
        <v>0.23663445971879365</v>
      </c>
      <c r="I6" s="20">
        <f>RATE(3,,-Callan!I16,Callan!L16)</f>
        <v>0.13357176415654762</v>
      </c>
      <c r="J6" s="20">
        <f>RATE(3,,-Callan!J16,Callan!M16)</f>
        <v>0.13912563397241762</v>
      </c>
      <c r="K6" s="20">
        <f>RATE(3,,-Callan!K16,Callan!N16)</f>
        <v>0.03284072459391215</v>
      </c>
      <c r="L6" s="20">
        <f>RATE(3,,-Callan!L16,Callan!O16)</f>
        <v>0.13148871144994792</v>
      </c>
      <c r="M6" s="20">
        <f>RATE(3,,-Callan!M16,Callan!P16)</f>
        <v>0.20877066934407812</v>
      </c>
      <c r="N6" s="20">
        <f>RATE(3,,-Callan!N16,Callan!Q16)</f>
        <v>0.32719162006524316</v>
      </c>
      <c r="O6" s="20">
        <f>RATE(3,,-Callan!O16,Callan!R16)</f>
        <v>0.3399752141966221</v>
      </c>
      <c r="P6" s="20">
        <f>RATE(3,,-Callan!P16,Callan!S16)</f>
        <v>0.355221728197208</v>
      </c>
      <c r="Q6" s="20">
        <f>RATE(3,,-Callan!Q16,Callan!T16)</f>
        <v>0.12420752580639591</v>
      </c>
      <c r="R6" s="20">
        <f>RATE(3,,-Callan!R16,Callan!U16)</f>
        <v>-0.04454770341342496</v>
      </c>
      <c r="S6" s="20">
        <f>RATE(3,,-Callan!S16,Callan!V16)</f>
        <v>-0.19602980154737742</v>
      </c>
    </row>
    <row r="7" spans="1:19" ht="12.75">
      <c r="A7" s="19" t="str">
        <f>Callan!A17</f>
        <v>S&amp;P 500 Index</v>
      </c>
      <c r="B7" s="20">
        <f>RATE(3,,-Callan!B17,Callan!E17)</f>
        <v>0.19714854371991924</v>
      </c>
      <c r="C7" s="20">
        <f>RATE(3,,-Callan!C17,Callan!F17)</f>
        <v>0.18434647446364893</v>
      </c>
      <c r="D7" s="20">
        <f>RATE(3,,-Callan!D17,Callan!G17)</f>
        <v>0.1805450908010484</v>
      </c>
      <c r="E7" s="20">
        <f>RATE(3,,-Callan!E17,Callan!H17)</f>
        <v>0.13352981405426048</v>
      </c>
      <c r="F7" s="20">
        <f>RATE(3,,-Callan!F17,Callan!I17)</f>
        <v>0.17355531810891817</v>
      </c>
      <c r="G7" s="20">
        <f>RATE(3,,-Callan!G17,Callan!J17)</f>
        <v>0.14162249132396312</v>
      </c>
      <c r="H7" s="20">
        <f>RATE(3,,-Callan!H17,Callan!K17)</f>
        <v>0.18517042460400499</v>
      </c>
      <c r="I7" s="20">
        <f>RATE(3,,-Callan!I17,Callan!L17)</f>
        <v>0.10805385409617158</v>
      </c>
      <c r="J7" s="20">
        <f>RATE(3,,-Callan!J17,Callan!M17)</f>
        <v>0.1562116925405216</v>
      </c>
      <c r="K7" s="20">
        <f>RATE(3,,-Callan!K17,Callan!N17)</f>
        <v>0.06275265002415908</v>
      </c>
      <c r="L7" s="20">
        <f>RATE(3,,-Callan!L17,Callan!O17)</f>
        <v>0.1534168785387195</v>
      </c>
      <c r="M7" s="20">
        <f>RATE(3,,-Callan!M17,Callan!P17)</f>
        <v>0.1967537037977558</v>
      </c>
      <c r="N7" s="20">
        <f>RATE(3,,-Callan!N17,Callan!Q17)</f>
        <v>0.31154012588292035</v>
      </c>
      <c r="O7" s="20">
        <f>RATE(3,,-Callan!O17,Callan!R17)</f>
        <v>0.28229403175086315</v>
      </c>
      <c r="P7" s="20">
        <f>RATE(3,,-Callan!P17,Callan!S17)</f>
        <v>0.27558471849308674</v>
      </c>
      <c r="Q7" s="20">
        <f>RATE(3,,-Callan!Q17,Callan!T17)</f>
        <v>0.12259233672262337</v>
      </c>
      <c r="R7" s="20">
        <f>RATE(3,,-Callan!R17,Callan!U17)</f>
        <v>-0.010257022706093718</v>
      </c>
      <c r="S7" s="20">
        <f>RATE(3,,-Callan!S17,Callan!V17)</f>
        <v>-0.14547400932934407</v>
      </c>
    </row>
    <row r="8" spans="1:19" ht="12.75">
      <c r="A8" s="19" t="str">
        <f>Callan!A18</f>
        <v>S&amp;P/Barra 500 Value</v>
      </c>
      <c r="B8" s="20">
        <f>RATE(3,,-Callan!B18,Callan!E18)</f>
        <v>0.22699944774684633</v>
      </c>
      <c r="C8" s="20">
        <f>RATE(3,,-Callan!C18,Callan!F18)</f>
        <v>0.20364697501600476</v>
      </c>
      <c r="D8" s="20">
        <f>RATE(3,,-Callan!D18,Callan!G18)</f>
        <v>0.17828540828040948</v>
      </c>
      <c r="E8" s="20">
        <f>RATE(3,,-Callan!E18,Callan!H18)</f>
        <v>0.15350815232984213</v>
      </c>
      <c r="F8" s="20">
        <f>RATE(3,,-Callan!F18,Callan!I18)</f>
        <v>0.16743389251707094</v>
      </c>
      <c r="G8" s="20">
        <f>RATE(3,,-Callan!G18,Callan!J18)</f>
        <v>0.1264923696073787</v>
      </c>
      <c r="H8" s="20">
        <f>RATE(3,,-Callan!H18,Callan!K18)</f>
        <v>0.12923241376876562</v>
      </c>
      <c r="I8" s="20">
        <f>RATE(3,,-Callan!I18,Callan!L18)</f>
        <v>0.08058142026835469</v>
      </c>
      <c r="J8" s="20">
        <f>RATE(3,,-Callan!J18,Callan!M18)</f>
        <v>0.17124886419348065</v>
      </c>
      <c r="K8" s="20">
        <f>RATE(3,,-Callan!K18,Callan!N18)</f>
        <v>0.09211941116593492</v>
      </c>
      <c r="L8" s="20">
        <f>RATE(3,,-Callan!L18,Callan!O18)</f>
        <v>0.17314795907037103</v>
      </c>
      <c r="M8" s="20">
        <f>RATE(3,,-Callan!M18,Callan!P18)</f>
        <v>0.18418646548876913</v>
      </c>
      <c r="N8" s="20">
        <f>RATE(3,,-Callan!N18,Callan!Q18)</f>
        <v>0.29511522742474083</v>
      </c>
      <c r="O8" s="20">
        <f>RATE(3,,-Callan!O18,Callan!R18)</f>
        <v>0.22063917872585953</v>
      </c>
      <c r="P8" s="20">
        <f>RATE(3,,-Callan!P18,Callan!S18)</f>
        <v>0.18886996433544143</v>
      </c>
      <c r="Q8" s="20">
        <f>RATE(3,,-Callan!Q18,Callan!T18)</f>
        <v>0.11101523579098957</v>
      </c>
      <c r="R8" s="20">
        <f>RATE(3,,-Callan!R18,Callan!U18)</f>
        <v>0.018236519931634502</v>
      </c>
      <c r="S8" s="20">
        <f>RATE(3,,-Callan!S18,Callan!V18)</f>
        <v>-0.06039809016697402</v>
      </c>
    </row>
    <row r="9" spans="1:19" ht="12.75">
      <c r="A9" s="19" t="str">
        <f>Callan!A19</f>
        <v>Russell 2000 Growth</v>
      </c>
      <c r="B9" s="20">
        <f>RATE(3,,-Callan!B19,Callan!E19)</f>
        <v>0.09813329816333377</v>
      </c>
      <c r="C9" s="20">
        <f>RATE(3,,-Callan!C19,Callan!F19)</f>
        <v>0.04519774113135172</v>
      </c>
      <c r="D9" s="20">
        <f>RATE(3,,-Callan!D19,Callan!G19)</f>
        <v>0.06693159984366004</v>
      </c>
      <c r="E9" s="20">
        <f>RATE(3,,-Callan!E19,Callan!H19)</f>
        <v>0.03736298741214848</v>
      </c>
      <c r="F9" s="20">
        <f>RATE(3,,-Callan!F19,Callan!I19)</f>
        <v>0.08996221814893035</v>
      </c>
      <c r="G9" s="20">
        <f>RATE(3,,-Callan!G19,Callan!J19)</f>
        <v>0.061035005705838676</v>
      </c>
      <c r="H9" s="20">
        <f>RATE(3,,-Callan!H19,Callan!K19)</f>
        <v>0.14474752456029374</v>
      </c>
      <c r="I9" s="20">
        <f>RATE(3,,-Callan!I19,Callan!L19)</f>
        <v>0.10396600666987793</v>
      </c>
      <c r="J9" s="20">
        <f>RATE(3,,-Callan!J19,Callan!M19)</f>
        <v>0.22695920593448712</v>
      </c>
      <c r="K9" s="20">
        <f>RATE(3,,-Callan!K19,Callan!N19)</f>
        <v>0.060284974660052934</v>
      </c>
      <c r="L9" s="20">
        <f>RATE(3,,-Callan!L19,Callan!O19)</f>
        <v>0.1316825193498104</v>
      </c>
      <c r="M9" s="20">
        <f>RATE(3,,-Callan!M19,Callan!P19)</f>
        <v>0.12481981387270284</v>
      </c>
      <c r="N9" s="20">
        <f>RATE(3,,-Callan!N19,Callan!Q19)</f>
        <v>0.1810332829732538</v>
      </c>
      <c r="O9" s="20">
        <f>RATE(3,,-Callan!O19,Callan!R19)</f>
        <v>0.08367050793901012</v>
      </c>
      <c r="P9" s="20">
        <f>RATE(3,,-Callan!P19,Callan!S19)</f>
        <v>0.17826402040830747</v>
      </c>
      <c r="Q9" s="20">
        <f>RATE(3,,-Callan!Q19,Callan!T19)</f>
        <v>0.039610771598209894</v>
      </c>
      <c r="R9" s="20">
        <f>RATE(3,,-Callan!R19,Callan!U19)</f>
        <v>0.0024940496455000444</v>
      </c>
      <c r="S9" s="20">
        <f>RATE(3,,-Callan!S19,Callan!V19)</f>
        <v>-0.21106839104487082</v>
      </c>
    </row>
    <row r="10" spans="1:19" ht="12.75">
      <c r="A10" s="19" t="str">
        <f>Callan!A20</f>
        <v>MSCI/EAFE</v>
      </c>
      <c r="B10" s="20">
        <f>RATE(3,,-Callan!B20,Callan!E20)</f>
        <v>0.27535520917540884</v>
      </c>
      <c r="C10" s="20">
        <f>RATE(3,,-Callan!C20,Callan!F20)</f>
        <v>0.4164742955937964</v>
      </c>
      <c r="D10" s="20">
        <f>RATE(3,,-Callan!D20,Callan!G20)</f>
        <v>0.4884912035861658</v>
      </c>
      <c r="E10" s="20">
        <f>RATE(3,,-Callan!E20,Callan!H20)</f>
        <v>0.3940294841709747</v>
      </c>
      <c r="F10" s="20">
        <f>RATE(3,,-Callan!F20,Callan!I20)</f>
        <v>0.20895355123463236</v>
      </c>
      <c r="G10" s="20">
        <f>RATE(3,,-Callan!G20,Callan!J20)</f>
        <v>0.02763495147021053</v>
      </c>
      <c r="H10" s="20">
        <f>RATE(3,,-Callan!H20,Callan!K20)</f>
        <v>-0.017358038840918338</v>
      </c>
      <c r="I10" s="20">
        <f>RATE(3,,-Callan!I20,Callan!L20)</f>
        <v>-0.08987776108137105</v>
      </c>
      <c r="J10" s="20">
        <f>RATE(3,,-Callan!J20,Callan!M20)</f>
        <v>0.09294862222589768</v>
      </c>
      <c r="K10" s="20">
        <f>RATE(3,,-Callan!K20,Callan!N20)</f>
        <v>0.0785963743721966</v>
      </c>
      <c r="L10" s="20">
        <f>RATE(3,,-Callan!L20,Callan!O20)</f>
        <v>0.16692360611731719</v>
      </c>
      <c r="M10" s="20">
        <f>RATE(3,,-Callan!M20,Callan!P20)</f>
        <v>0.08325548720553785</v>
      </c>
      <c r="N10" s="20">
        <f>RATE(3,,-Callan!N20,Callan!Q20)</f>
        <v>0.06276926615794554</v>
      </c>
      <c r="O10" s="20">
        <f>RATE(3,,-Callan!O20,Callan!R20)</f>
        <v>0.09006263983646015</v>
      </c>
      <c r="P10" s="20">
        <f>RATE(3,,-Callan!P20,Callan!S20)</f>
        <v>0.15745345448940418</v>
      </c>
      <c r="Q10" s="20">
        <f>RATE(3,,-Callan!Q20,Callan!T20)</f>
        <v>0.09352594299818878</v>
      </c>
      <c r="R10" s="20">
        <f>RATE(3,,-Callan!R20,Callan!U20)</f>
        <v>-0.05048353419172434</v>
      </c>
      <c r="S10" s="20">
        <f>RATE(3,,-Callan!S20,Callan!V20)</f>
        <v>-0.17241999161611962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"/>
  <sheetViews>
    <sheetView showGridLines="0" workbookViewId="0" topLeftCell="A1">
      <selection activeCell="F23" sqref="F23"/>
    </sheetView>
  </sheetViews>
  <sheetFormatPr defaultColWidth="9.140625" defaultRowHeight="12.75"/>
  <cols>
    <col min="1" max="1" width="19.00390625" style="0" bestFit="1" customWidth="1"/>
  </cols>
  <sheetData>
    <row r="1" ht="13.5" thickBot="1"/>
    <row r="2" spans="1:17" ht="16.5" thickBot="1">
      <c r="A2" s="16" t="s">
        <v>26</v>
      </c>
      <c r="B2" s="24">
        <f>Callan!G12</f>
        <v>1987</v>
      </c>
      <c r="C2" s="24">
        <f>Callan!H12</f>
        <v>1988</v>
      </c>
      <c r="D2" s="24">
        <f>Callan!I12</f>
        <v>1989</v>
      </c>
      <c r="E2" s="24">
        <f>Callan!J12</f>
        <v>1990</v>
      </c>
      <c r="F2" s="24">
        <f>Callan!K12</f>
        <v>1991</v>
      </c>
      <c r="G2" s="24">
        <f>Callan!L12</f>
        <v>1992</v>
      </c>
      <c r="H2" s="24">
        <f>Callan!M12</f>
        <v>1993</v>
      </c>
      <c r="I2" s="24">
        <f>Callan!N12</f>
        <v>1994</v>
      </c>
      <c r="J2" s="24">
        <f>Callan!O12</f>
        <v>1995</v>
      </c>
      <c r="K2" s="24">
        <f>Callan!P12</f>
        <v>1996</v>
      </c>
      <c r="L2" s="24">
        <f>Callan!Q12</f>
        <v>1997</v>
      </c>
      <c r="M2" s="24">
        <f>Callan!R12</f>
        <v>1998</v>
      </c>
      <c r="N2" s="24">
        <f>Callan!S12</f>
        <v>1999</v>
      </c>
      <c r="O2" s="24">
        <f>Callan!T12</f>
        <v>2000</v>
      </c>
      <c r="P2" s="24">
        <f>Callan!U12</f>
        <v>2001</v>
      </c>
      <c r="Q2" s="24">
        <f>Callan!V12</f>
        <v>2002</v>
      </c>
    </row>
    <row r="3" spans="1:17" ht="12.75">
      <c r="A3" s="19" t="str">
        <f>Callan!A13</f>
        <v>Long Bonds</v>
      </c>
      <c r="B3" s="20">
        <f>RATE(5,,-Callan!B13,Callan!G13)</f>
        <v>0.1250631796540938</v>
      </c>
      <c r="C3" s="20">
        <f>RATE(5,,-Callan!C13,Callan!H13)</f>
        <v>0.1244385490220415</v>
      </c>
      <c r="D3" s="20">
        <f>RATE(5,,-Callan!D13,Callan!I13)</f>
        <v>0.1232250740240594</v>
      </c>
      <c r="E3" s="20">
        <f>RATE(5,,-Callan!E13,Callan!J13)</f>
        <v>0.09788218315964455</v>
      </c>
      <c r="F3" s="20">
        <f>RATE(5,,-Callan!F13,Callan!K13)</f>
        <v>0.09921203223590425</v>
      </c>
      <c r="G3" s="20">
        <f>RATE(5,,-Callan!G13,Callan!L13)</f>
        <v>0.10898574517720373</v>
      </c>
      <c r="H3" s="20">
        <f>RATE(5,,-Callan!H13,Callan!M13)</f>
        <v>0.11278338087264629</v>
      </c>
      <c r="I3" s="20">
        <f>RATE(5,,-Callan!I13,Callan!N13)</f>
        <v>0.0765959267415503</v>
      </c>
      <c r="J3" s="20">
        <f>RATE(5,,-Callan!J13,Callan!O13)</f>
        <v>0.09474673620617878</v>
      </c>
      <c r="K3" s="20">
        <f>RATE(5,,-Callan!K13,Callan!P13)</f>
        <v>0.07035426054419942</v>
      </c>
      <c r="L3" s="20">
        <f>RATE(5,,-Callan!L13,Callan!Q13)</f>
        <v>0.07478226423837891</v>
      </c>
      <c r="M3" s="20">
        <f>RATE(5,,-Callan!M13,Callan!R13)</f>
        <v>0.07271781767699423</v>
      </c>
      <c r="N3" s="20">
        <f>RATE(5,,-Callan!N13,Callan!S13)</f>
        <v>0.07731910471348676</v>
      </c>
      <c r="O3" s="20">
        <f>RATE(5,,-Callan!O13,Callan!T13)</f>
        <v>0.06459936009473204</v>
      </c>
      <c r="P3" s="20">
        <f>RATE(5,,-Callan!P13,Callan!U13)</f>
        <v>0.07428279820710687</v>
      </c>
      <c r="Q3" s="20">
        <f>RATE(5,,-Callan!Q13,Callan!V13)</f>
        <v>0.07547553622465243</v>
      </c>
    </row>
    <row r="4" spans="1:17" ht="12.75">
      <c r="A4" s="19" t="str">
        <f>Callan!A14</f>
        <v>Russell 2000 Value</v>
      </c>
      <c r="B4" s="20">
        <f>RATE(5,,-Callan!B14,Callan!G14)</f>
        <v>0.13129370316586206</v>
      </c>
      <c r="C4" s="20">
        <f>RATE(5,,-Callan!C14,Callan!H14)</f>
        <v>0.1159320600593742</v>
      </c>
      <c r="D4" s="20">
        <f>RATE(5,,-Callan!D14,Callan!I14)</f>
        <v>0.137272520892931</v>
      </c>
      <c r="E4" s="20">
        <f>RATE(5,,-Callan!E14,Callan!J14)</f>
        <v>0.02583691320235879</v>
      </c>
      <c r="F4" s="20">
        <f>RATE(5,,-Callan!F14,Callan!K14)</f>
        <v>0.08428474881979912</v>
      </c>
      <c r="G4" s="20">
        <f>RATE(5,,-Callan!G14,Callan!L14)</f>
        <v>0.15818461058434644</v>
      </c>
      <c r="H4" s="20">
        <f>RATE(5,,-Callan!H14,Callan!M14)</f>
        <v>0.1479690397253034</v>
      </c>
      <c r="I4" s="20">
        <f>RATE(5,,-Callan!I14,Callan!N14)</f>
        <v>0.1178843531143876</v>
      </c>
      <c r="J4" s="20">
        <f>RATE(5,,-Callan!J14,Callan!O14)</f>
        <v>0.22920356210428922</v>
      </c>
      <c r="K4" s="20">
        <f>RATE(5,,-Callan!K14,Callan!P14)</f>
        <v>0.19171418958998612</v>
      </c>
      <c r="L4" s="20">
        <f>RATE(5,,-Callan!L14,Callan!Q14)</f>
        <v>0.1965287245783708</v>
      </c>
      <c r="M4" s="20">
        <f>RATE(5,,-Callan!M14,Callan!R14)</f>
        <v>0.13119216131462338</v>
      </c>
      <c r="N4" s="20">
        <f>RATE(5,,-Callan!N14,Callan!S14)</f>
        <v>0.13135297582038608</v>
      </c>
      <c r="O4" s="20">
        <f>RATE(5,,-Callan!O14,Callan!T14)</f>
        <v>0.12604932645106248</v>
      </c>
      <c r="P4" s="20">
        <f>RATE(5,,-Callan!P14,Callan!U14)</f>
        <v>0.11208752655672405</v>
      </c>
      <c r="Q4" s="20">
        <f>RATE(5,,-Callan!Q14,Callan!V14)</f>
        <v>0.0052274587683881855</v>
      </c>
    </row>
    <row r="5" spans="1:17" ht="12.75">
      <c r="A5" s="19" t="str">
        <f>Callan!A15</f>
        <v>Russell 2000 Blend</v>
      </c>
      <c r="B5" s="20">
        <f>RATE(5,,-Callan!B15,Callan!G15)</f>
        <v>0.08668865008964892</v>
      </c>
      <c r="C5" s="20">
        <f>RATE(5,,-Callan!C15,Callan!H15)</f>
        <v>0.07945671926791609</v>
      </c>
      <c r="D5" s="20">
        <f>RATE(5,,-Callan!D15,Callan!I15)</f>
        <v>0.12903846277382577</v>
      </c>
      <c r="E5" s="20">
        <f>RATE(5,,-Callan!E15,Callan!J15)</f>
        <v>0.0242055772039944</v>
      </c>
      <c r="F5" s="20">
        <f>RATE(5,,-Callan!F15,Callan!K15)</f>
        <v>0.09264899113625345</v>
      </c>
      <c r="G5" s="20">
        <f>RATE(5,,-Callan!G15,Callan!L15)</f>
        <v>0.1511412722952597</v>
      </c>
      <c r="H5" s="20">
        <f>RATE(5,,-Callan!H15,Callan!M15)</f>
        <v>0.13986168962075718</v>
      </c>
      <c r="I5" s="20">
        <f>RATE(5,,-Callan!I15,Callan!N15)</f>
        <v>0.10201375961689563</v>
      </c>
      <c r="J5" s="20">
        <f>RATE(5,,-Callan!J15,Callan!O15)</f>
        <v>0.20995132757379953</v>
      </c>
      <c r="K5" s="20">
        <f>RATE(5,,-Callan!K15,Callan!P15)</f>
        <v>0.1565252990783063</v>
      </c>
      <c r="L5" s="20">
        <f>RATE(5,,-Callan!L15,Callan!Q15)</f>
        <v>0.16412072135953867</v>
      </c>
      <c r="M5" s="20">
        <f>RATE(5,,-Callan!M15,Callan!R15)</f>
        <v>0.11873009968524385</v>
      </c>
      <c r="N5" s="20">
        <f>RATE(5,,-Callan!N15,Callan!S15)</f>
        <v>0.16695842501658967</v>
      </c>
      <c r="O5" s="20">
        <f>RATE(5,,-Callan!O15,Callan!T15)</f>
        <v>0.10319366780837262</v>
      </c>
      <c r="P5" s="20">
        <f>RATE(5,,-Callan!P15,Callan!U15)</f>
        <v>0.07522786234682498</v>
      </c>
      <c r="Q5" s="20">
        <f>RATE(5,,-Callan!Q15,Callan!V15)</f>
        <v>-0.013566323889796787</v>
      </c>
    </row>
    <row r="6" spans="1:17" ht="12.75">
      <c r="A6" s="19" t="str">
        <f>Callan!A16</f>
        <v>S&amp;P 500 Growth</v>
      </c>
      <c r="B6" s="20">
        <f>RATE(5,,-Callan!B16,Callan!G16)</f>
        <v>0.14097276951329318</v>
      </c>
      <c r="C6" s="20">
        <f>RATE(5,,-Callan!C16,Callan!H16)</f>
        <v>0.13242377571103572</v>
      </c>
      <c r="D6" s="20">
        <f>RATE(5,,-Callan!D16,Callan!I16)</f>
        <v>0.1994199224445347</v>
      </c>
      <c r="E6" s="20">
        <f>RATE(5,,-Callan!E16,Callan!J16)</f>
        <v>0.13284960311775776</v>
      </c>
      <c r="F6" s="20">
        <f>RATE(5,,-Callan!F16,Callan!K16)</f>
        <v>0.1765748143780877</v>
      </c>
      <c r="G6" s="20">
        <f>RATE(5,,-Callan!G16,Callan!L16)</f>
        <v>0.17337574180439252</v>
      </c>
      <c r="H6" s="20">
        <f>RATE(5,,-Callan!H16,Callan!M16)</f>
        <v>0.15101078595854092</v>
      </c>
      <c r="I6" s="20">
        <f>RATE(5,,-Callan!I16,Callan!N16)</f>
        <v>0.08843361178833686</v>
      </c>
      <c r="J6" s="20">
        <f>RATE(5,,-Callan!J16,Callan!O16)</f>
        <v>0.16060918377353642</v>
      </c>
      <c r="K6" s="20">
        <f>RATE(5,,-Callan!K16,Callan!P16)</f>
        <v>0.13537920281408306</v>
      </c>
      <c r="L6" s="20">
        <f>RATE(5,,-Callan!L16,Callan!Q16)</f>
        <v>0.19644492381992112</v>
      </c>
      <c r="M6" s="20">
        <f>RATE(5,,-Callan!M16,Callan!R16)</f>
        <v>0.27938450603774256</v>
      </c>
      <c r="N6" s="20">
        <f>RATE(5,,-Callan!N16,Callan!S16)</f>
        <v>0.3363712880364857</v>
      </c>
      <c r="O6" s="20">
        <f>RATE(5,,-Callan!O16,Callan!T16)</f>
        <v>0.19181945129940672</v>
      </c>
      <c r="P6" s="20">
        <f>RATE(5,,-Callan!P16,Callan!U16)</f>
        <v>0.11101556693858614</v>
      </c>
      <c r="Q6" s="20">
        <f>RATE(5,,-Callan!Q16,Callan!V16)</f>
        <v>-0.010738908817018356</v>
      </c>
    </row>
    <row r="7" spans="1:17" ht="12.75">
      <c r="A7" s="19" t="str">
        <f>Callan!A17</f>
        <v>S&amp;P 500 Index</v>
      </c>
      <c r="B7" s="20">
        <f>RATE(5,,-Callan!B17,Callan!G17)</f>
        <v>0.16466609917054748</v>
      </c>
      <c r="C7" s="20">
        <f>RATE(5,,-Callan!C17,Callan!H17)</f>
        <v>0.1531315186856422</v>
      </c>
      <c r="D7" s="20">
        <f>RATE(5,,-Callan!D17,Callan!I17)</f>
        <v>0.20366952866661073</v>
      </c>
      <c r="E7" s="20">
        <f>RATE(5,,-Callan!E17,Callan!J17)</f>
        <v>0.13194706870142883</v>
      </c>
      <c r="F7" s="20">
        <f>RATE(5,,-Callan!F17,Callan!K17)</f>
        <v>0.15361279206631273</v>
      </c>
      <c r="G7" s="20">
        <f>RATE(5,,-Callan!G17,Callan!L17)</f>
        <v>0.15876198699690414</v>
      </c>
      <c r="H7" s="20">
        <f>RATE(5,,-Callan!H17,Callan!M17)</f>
        <v>0.14548330769984613</v>
      </c>
      <c r="I7" s="20">
        <f>RATE(5,,-Callan!I17,Callan!N17)</f>
        <v>0.08696920842599298</v>
      </c>
      <c r="J7" s="20">
        <f>RATE(5,,-Callan!J17,Callan!O17)</f>
        <v>0.16593009227349612</v>
      </c>
      <c r="K7" s="20">
        <f>RATE(5,,-Callan!K17,Callan!P17)</f>
        <v>0.15218747500577093</v>
      </c>
      <c r="L7" s="20">
        <f>RATE(5,,-Callan!L17,Callan!Q17)</f>
        <v>0.2026788390348491</v>
      </c>
      <c r="M7" s="20">
        <f>RATE(5,,-Callan!M17,Callan!R17)</f>
        <v>0.24063111709266596</v>
      </c>
      <c r="N7" s="20">
        <f>RATE(5,,-Callan!N17,Callan!S17)</f>
        <v>0.2855513139175325</v>
      </c>
      <c r="O7" s="20">
        <f>RATE(5,,-Callan!O17,Callan!T17)</f>
        <v>0.1832898307794992</v>
      </c>
      <c r="P7" s="20">
        <f>RATE(5,,-Callan!P17,Callan!U17)</f>
        <v>0.10701437142871621</v>
      </c>
      <c r="Q7" s="20">
        <f>RATE(5,,-Callan!Q17,Callan!V17)</f>
        <v>-0.0058414928952581595</v>
      </c>
    </row>
    <row r="8" spans="1:17" ht="12.75">
      <c r="A8" s="19" t="str">
        <f>Callan!A18</f>
        <v>S&amp;P/Barra 500 Value</v>
      </c>
      <c r="B8" s="20">
        <f>RATE(5,,-Callan!B18,Callan!G18)</f>
        <v>0.1843561503289196</v>
      </c>
      <c r="C8" s="20">
        <f>RATE(5,,-Callan!C18,Callan!H18)</f>
        <v>0.17077968083921652</v>
      </c>
      <c r="D8" s="20">
        <f>RATE(5,,-Callan!D18,Callan!I18)</f>
        <v>0.20212791023663862</v>
      </c>
      <c r="E8" s="20">
        <f>RATE(5,,-Callan!E18,Callan!J18)</f>
        <v>0.12515577066180247</v>
      </c>
      <c r="F8" s="20">
        <f>RATE(5,,-Callan!F18,Callan!K18)</f>
        <v>0.12679704857695054</v>
      </c>
      <c r="G8" s="20">
        <f>RATE(5,,-Callan!G18,Callan!L18)</f>
        <v>0.14128702079157426</v>
      </c>
      <c r="H8" s="20">
        <f>RATE(5,,-Callan!H18,Callan!M18)</f>
        <v>0.13550685568073556</v>
      </c>
      <c r="I8" s="20">
        <f>RATE(5,,-Callan!I18,Callan!N18)</f>
        <v>0.082600935550842</v>
      </c>
      <c r="J8" s="20">
        <f>RATE(5,,-Callan!J18,Callan!O18)</f>
        <v>0.16941752882070302</v>
      </c>
      <c r="K8" s="20">
        <f>RATE(5,,-Callan!K18,Callan!P18)</f>
        <v>0.1683469119715661</v>
      </c>
      <c r="L8" s="20">
        <f>RATE(5,,-Callan!L18,Callan!Q18)</f>
        <v>0.20686570500191295</v>
      </c>
      <c r="M8" s="20">
        <f>RATE(5,,-Callan!M18,Callan!R18)</f>
        <v>0.19876063444764158</v>
      </c>
      <c r="N8" s="20">
        <f>RATE(5,,-Callan!N18,Callan!S18)</f>
        <v>0.22939191407473009</v>
      </c>
      <c r="O8" s="20">
        <f>RATE(5,,-Callan!O18,Callan!T18)</f>
        <v>0.1680980029622172</v>
      </c>
      <c r="P8" s="20">
        <f>RATE(5,,-Callan!P18,Callan!U18)</f>
        <v>0.09493822786522868</v>
      </c>
      <c r="Q8" s="20">
        <f>RATE(5,,-Callan!Q18,Callan!V18)</f>
        <v>0.014078654032149909</v>
      </c>
    </row>
    <row r="9" spans="1:17" ht="12.75">
      <c r="A9" s="19" t="str">
        <f>Callan!A19</f>
        <v>Russell 2000 Growth</v>
      </c>
      <c r="B9" s="20">
        <f>RATE(5,,-Callan!B19,Callan!G19)</f>
        <v>0.04193497815086326</v>
      </c>
      <c r="C9" s="20">
        <f>RATE(5,,-Callan!C19,Callan!H19)</f>
        <v>0.04235093422797979</v>
      </c>
      <c r="D9" s="20">
        <f>RATE(5,,-Callan!D19,Callan!I19)</f>
        <v>0.11929560520074131</v>
      </c>
      <c r="E9" s="20">
        <f>RATE(5,,-Callan!E19,Callan!J19)</f>
        <v>0.02067013814776235</v>
      </c>
      <c r="F9" s="20">
        <f>RATE(5,,-Callan!F19,Callan!K19)</f>
        <v>0.10083115033659945</v>
      </c>
      <c r="G9" s="20">
        <f>RATE(5,,-Callan!G19,Callan!L19)</f>
        <v>0.1424475541002509</v>
      </c>
      <c r="H9" s="20">
        <f>RATE(5,,-Callan!H19,Callan!M19)</f>
        <v>0.12882087921235186</v>
      </c>
      <c r="I9" s="20">
        <f>RATE(5,,-Callan!I19,Callan!N19)</f>
        <v>0.08274804473014617</v>
      </c>
      <c r="J9" s="20">
        <f>RATE(5,,-Callan!J19,Callan!O19)</f>
        <v>0.18749888170351503</v>
      </c>
      <c r="K9" s="20">
        <f>RATE(5,,-Callan!K19,Callan!P19)</f>
        <v>0.11698921706471288</v>
      </c>
      <c r="L9" s="20">
        <f>RATE(5,,-Callan!L19,Callan!Q19)</f>
        <v>0.1274862901256303</v>
      </c>
      <c r="M9" s="20">
        <f>RATE(5,,-Callan!M19,Callan!R19)</f>
        <v>0.10223319902245921</v>
      </c>
      <c r="N9" s="20">
        <f>RATE(5,,-Callan!N19,Callan!S19)</f>
        <v>0.18998362749041592</v>
      </c>
      <c r="O9" s="20">
        <f>RATE(5,,-Callan!O19,Callan!T19)</f>
        <v>0.07151675792545985</v>
      </c>
      <c r="P9" s="20">
        <f>RATE(5,,-Callan!P19,Callan!U19)</f>
        <v>0.028662232919066603</v>
      </c>
      <c r="Q9" s="20">
        <f>RATE(5,,-Callan!Q19,Callan!V19)</f>
        <v>-0.06587000380820493</v>
      </c>
    </row>
    <row r="10" spans="1:17" ht="12.75">
      <c r="A10" s="19" t="str">
        <f>Callan!A20</f>
        <v>MSCI/EAFE</v>
      </c>
      <c r="B10" s="20">
        <f>RATE(5,,-Callan!B20,Callan!G20)</f>
        <v>0.34376592680338547</v>
      </c>
      <c r="C10" s="20">
        <f>RATE(5,,-Callan!C20,Callan!H20)</f>
        <v>0.3535520280827929</v>
      </c>
      <c r="D10" s="20">
        <f>RATE(5,,-Callan!D20,Callan!I20)</f>
        <v>0.3613257034964313</v>
      </c>
      <c r="E10" s="20">
        <f>RATE(5,,-Callan!E20,Callan!J20)</f>
        <v>0.18045177245624802</v>
      </c>
      <c r="F10" s="20">
        <f>RATE(5,,-Callan!F20,Callan!K20)</f>
        <v>0.08689331734417713</v>
      </c>
      <c r="G10" s="20">
        <f>RATE(5,,-Callan!G20,Callan!L20)</f>
        <v>0.013384172586525784</v>
      </c>
      <c r="H10" s="20">
        <f>RATE(5,,-Callan!H20,Callan!M20)</f>
        <v>0.020105105530500336</v>
      </c>
      <c r="I10" s="20">
        <f>RATE(5,,-Callan!I20,Callan!N20)</f>
        <v>0.014977752629276028</v>
      </c>
      <c r="J10" s="20">
        <f>RATE(5,,-Callan!J20,Callan!O20)</f>
        <v>0.09369506419559796</v>
      </c>
      <c r="K10" s="20">
        <f>RATE(5,,-Callan!K20,Callan!P20)</f>
        <v>0.08154918996672239</v>
      </c>
      <c r="L10" s="20">
        <f>RATE(5,,-Callan!L20,Callan!Q20)</f>
        <v>0.11393558834424895</v>
      </c>
      <c r="M10" s="20">
        <f>RATE(5,,-Callan!M20,Callan!R20)</f>
        <v>0.09196137593011901</v>
      </c>
      <c r="N10" s="20">
        <f>RATE(5,,-Callan!N20,Callan!S20)</f>
        <v>0.1283219165942562</v>
      </c>
      <c r="O10" s="20">
        <f>RATE(5,,-Callan!O20,Callan!T20)</f>
        <v>0.07135173765359923</v>
      </c>
      <c r="P10" s="20">
        <f>RATE(5,,-Callan!P20,Callan!U20)</f>
        <v>0.008951380112974514</v>
      </c>
      <c r="Q10" s="20">
        <f>RATE(5,,-Callan!Q20,Callan!V20)</f>
        <v>-0.028918620601372735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showGridLines="0" workbookViewId="0" topLeftCell="A1">
      <selection activeCell="G32" sqref="G32"/>
    </sheetView>
  </sheetViews>
  <sheetFormatPr defaultColWidth="9.140625" defaultRowHeight="12.75"/>
  <cols>
    <col min="1" max="1" width="19.00390625" style="0" bestFit="1" customWidth="1"/>
  </cols>
  <sheetData>
    <row r="1" ht="13.5" thickBot="1"/>
    <row r="2" spans="1:12" ht="16.5" thickBot="1">
      <c r="A2" s="16" t="str">
        <f>Callan!A12</f>
        <v>Type</v>
      </c>
      <c r="B2" s="24">
        <f>Callan!L12</f>
        <v>1992</v>
      </c>
      <c r="C2" s="24">
        <f>Callan!M12</f>
        <v>1993</v>
      </c>
      <c r="D2" s="24">
        <f>Callan!N12</f>
        <v>1994</v>
      </c>
      <c r="E2" s="24">
        <f>Callan!O12</f>
        <v>1995</v>
      </c>
      <c r="F2" s="24">
        <f>Callan!P12</f>
        <v>1996</v>
      </c>
      <c r="G2" s="24">
        <f>Callan!Q12</f>
        <v>1997</v>
      </c>
      <c r="H2" s="24">
        <f>Callan!R12</f>
        <v>1998</v>
      </c>
      <c r="I2" s="24">
        <f>Callan!S12</f>
        <v>1999</v>
      </c>
      <c r="J2" s="24">
        <f>Callan!T12</f>
        <v>2000</v>
      </c>
      <c r="K2" s="24">
        <f>Callan!U12</f>
        <v>2001</v>
      </c>
      <c r="L2" s="24">
        <f>Callan!V12</f>
        <v>2002</v>
      </c>
    </row>
    <row r="3" spans="1:12" ht="12.75">
      <c r="A3" s="19" t="str">
        <f>Callan!A13</f>
        <v>Long Bonds</v>
      </c>
      <c r="B3" s="23">
        <f>RATE(10,,-Callan!B13,Callan!L13)</f>
        <v>0.11699553654440485</v>
      </c>
      <c r="C3" s="23">
        <f>RATE(10,,-Callan!C13,Callan!M13)</f>
        <v>0.11859578497516218</v>
      </c>
      <c r="D3" s="23">
        <f>RATE(10,,-Callan!D13,Callan!N13)</f>
        <v>0.09966337553857006</v>
      </c>
      <c r="E3" s="23">
        <f>RATE(10,,-Callan!E13,Callan!O13)</f>
        <v>0.09631333876375013</v>
      </c>
      <c r="F3" s="23">
        <f>RATE(10,,-Callan!F13,Callan!P13)</f>
        <v>0.08468718160818471</v>
      </c>
      <c r="G3" s="23">
        <f>RATE(10,,-Callan!G13,Callan!Q13)</f>
        <v>0.09175006764878393</v>
      </c>
      <c r="H3" s="23">
        <f>RATE(10,,-Callan!H13,Callan!R13)</f>
        <v>0.09256695899040832</v>
      </c>
      <c r="I3" s="23">
        <f>RATE(10,,-Callan!I13,Callan!S13)</f>
        <v>0.07695745502569398</v>
      </c>
      <c r="J3" s="23">
        <f>RATE(10,,-Callan!J13,Callan!T13)</f>
        <v>0.07956781854170701</v>
      </c>
      <c r="K3" s="23">
        <f>RATE(10,,-Callan!K13,Callan!U13)</f>
        <v>0.0723167303043312</v>
      </c>
      <c r="L3" s="23">
        <f>RATE(10,,-Callan!L13,Callan!V13)</f>
        <v>0.0751288443514962</v>
      </c>
    </row>
    <row r="4" spans="1:12" ht="12.75">
      <c r="A4" s="19" t="str">
        <f>Callan!A14</f>
        <v>Russell 2000 Value</v>
      </c>
      <c r="B4" s="23">
        <f>RATE(10,,-Callan!B14,Callan!L14)</f>
        <v>0.1446601928335893</v>
      </c>
      <c r="C4" s="23">
        <f>RATE(10,,-Callan!C14,Callan!M14)</f>
        <v>0.13183720356842427</v>
      </c>
      <c r="D4" s="23">
        <f>RATE(10,,-Callan!D14,Callan!N14)</f>
        <v>0.1275367649578703</v>
      </c>
      <c r="E4" s="23">
        <f>RATE(10,,-Callan!E14,Callan!O14)</f>
        <v>0.12292581582362172</v>
      </c>
      <c r="F4" s="23">
        <f>RATE(10,,-Callan!F14,Callan!P14)</f>
        <v>0.13673106789784714</v>
      </c>
      <c r="G4" s="23">
        <f>RATE(10,,-Callan!G14,Callan!Q14)</f>
        <v>0.177200558498401</v>
      </c>
      <c r="H4" s="23">
        <f>RATE(10,,-Callan!H14,Callan!R14)</f>
        <v>0.1395497265012841</v>
      </c>
      <c r="I4" s="23">
        <f>RATE(10,,-Callan!I14,Callan!S14)</f>
        <v>0.12459850147413194</v>
      </c>
      <c r="J4" s="23">
        <f>RATE(10,,-Callan!J14,Callan!T14)</f>
        <v>0.17649642718489408</v>
      </c>
      <c r="K4" s="23">
        <f>RATE(10,,-Callan!K14,Callan!U14)</f>
        <v>0.15121261522953097</v>
      </c>
      <c r="L4" s="23">
        <f>RATE(10,,-Callan!L14,Callan!V14)</f>
        <v>0.0967148805187694</v>
      </c>
    </row>
    <row r="5" spans="1:12" ht="12.75">
      <c r="A5" s="19" t="str">
        <f>Callan!A15</f>
        <v>Russell 2000 Blend</v>
      </c>
      <c r="B5" s="23">
        <f>RATE(10,,-Callan!B15,Callan!L15)</f>
        <v>0.11845078356311105</v>
      </c>
      <c r="C5" s="23">
        <f>RATE(10,,-Callan!C15,Callan!M15)</f>
        <v>0.10924810565461575</v>
      </c>
      <c r="D5" s="23">
        <f>RATE(10,,-Callan!D15,Callan!N15)</f>
        <v>0.11544427073468796</v>
      </c>
      <c r="E5" s="23">
        <f>RATE(10,,-Callan!E15,Callan!O15)</f>
        <v>0.11321107515252377</v>
      </c>
      <c r="F5" s="23">
        <f>RATE(10,,-Callan!F15,Callan!P15)</f>
        <v>0.1241335335543918</v>
      </c>
      <c r="G5" s="23">
        <f>RATE(10,,-Callan!G15,Callan!Q15)</f>
        <v>0.15761280586021714</v>
      </c>
      <c r="H5" s="23">
        <f>RATE(10,,-Callan!H15,Callan!R15)</f>
        <v>0.12924646630145323</v>
      </c>
      <c r="I5" s="23">
        <f>RATE(10,,-Callan!I15,Callan!S15)</f>
        <v>0.1340212702024047</v>
      </c>
      <c r="J5" s="23">
        <f>RATE(10,,-Callan!J15,Callan!T15)</f>
        <v>0.15534005510745924</v>
      </c>
      <c r="K5" s="23">
        <f>RATE(10,,-Callan!K15,Callan!U15)</f>
        <v>0.11513596708118491</v>
      </c>
      <c r="L5" s="23">
        <f>RATE(10,,-Callan!L15,Callan!V15)</f>
        <v>0.0716006171179444</v>
      </c>
    </row>
    <row r="6" spans="1:12" ht="12.75">
      <c r="A6" s="19" t="str">
        <f>Callan!A16</f>
        <v>S&amp;P 500 Growth</v>
      </c>
      <c r="B6" s="23">
        <f>RATE(10,,-Callan!B16,Callan!L16)</f>
        <v>0.15706083237194185</v>
      </c>
      <c r="C6" s="23">
        <f>RATE(10,,-Callan!C16,Callan!M16)</f>
        <v>0.14167945594169573</v>
      </c>
      <c r="D6" s="23">
        <f>RATE(10,,-Callan!D16,Callan!N16)</f>
        <v>0.1425799570433374</v>
      </c>
      <c r="E6" s="23">
        <f>RATE(10,,-Callan!E16,Callan!O16)</f>
        <v>0.14664539122299441</v>
      </c>
      <c r="F6" s="23">
        <f>RATE(10,,-Callan!F16,Callan!P16)</f>
        <v>0.15579348276625365</v>
      </c>
      <c r="G6" s="23">
        <f>RATE(10,,-Callan!G16,Callan!Q16)</f>
        <v>0.18485418934926812</v>
      </c>
      <c r="H6" s="23">
        <f>RATE(10,,-Callan!H16,Callan!R16)</f>
        <v>0.21350128382202946</v>
      </c>
      <c r="I6" s="23">
        <f>RATE(10,,-Callan!I16,Callan!S16)</f>
        <v>0.2060478546590287</v>
      </c>
      <c r="J6" s="23">
        <f>RATE(10,,-Callan!J16,Callan!T16)</f>
        <v>0.1761107943464772</v>
      </c>
      <c r="K6" s="23">
        <f>RATE(10,,-Callan!K16,Callan!U16)</f>
        <v>0.12313132300042964</v>
      </c>
      <c r="L6" s="23">
        <f>RATE(10,,-Callan!L16,Callan!V16)</f>
        <v>0.08793217200266368</v>
      </c>
    </row>
    <row r="7" spans="1:12" ht="12.75">
      <c r="A7" s="19" t="str">
        <f>Callan!A17</f>
        <v>S&amp;P 500 Index</v>
      </c>
      <c r="B7" s="23">
        <f>RATE(10,,-Callan!B17,Callan!L17)</f>
        <v>0.16171029231178521</v>
      </c>
      <c r="C7" s="23">
        <f>RATE(10,,-Callan!C17,Callan!M17)</f>
        <v>0.14930105117720469</v>
      </c>
      <c r="D7" s="23">
        <f>RATE(10,,-Callan!D17,Callan!N17)</f>
        <v>0.1438320308424401</v>
      </c>
      <c r="E7" s="23">
        <f>RATE(10,,-Callan!E17,Callan!O17)</f>
        <v>0.14881293092501954</v>
      </c>
      <c r="F7" s="23">
        <f>RATE(10,,-Callan!F17,Callan!P17)</f>
        <v>0.15289991327318553</v>
      </c>
      <c r="G7" s="23">
        <f>RATE(10,,-Callan!G17,Callan!Q17)</f>
        <v>0.18051620964700732</v>
      </c>
      <c r="H7" s="23">
        <f>RATE(10,,-Callan!H17,Callan!R17)</f>
        <v>0.1921083153987781</v>
      </c>
      <c r="I7" s="23">
        <f>RATE(10,,-Callan!I17,Callan!S17)</f>
        <v>0.18209758230013995</v>
      </c>
      <c r="J7" s="23">
        <f>RATE(10,,-Callan!J17,Callan!T17)</f>
        <v>0.174577890813475</v>
      </c>
      <c r="K7" s="23">
        <f>RATE(10,,-Callan!K17,Callan!U17)</f>
        <v>0.12937508977776208</v>
      </c>
      <c r="L7" s="23">
        <f>RATE(10,,-Callan!L17,Callan!V17)</f>
        <v>0.09345937242387753</v>
      </c>
    </row>
    <row r="8" spans="1:12" ht="12.75">
      <c r="A8" s="19" t="str">
        <f>Callan!A18</f>
        <v>S&amp;P/Barra 500 Value</v>
      </c>
      <c r="B8" s="23">
        <f>RATE(10,,-Callan!B18,Callan!L18)</f>
        <v>0.1626221666407581</v>
      </c>
      <c r="C8" s="23">
        <f>RATE(10,,-Callan!C18,Callan!M18)</f>
        <v>0.15300839289509638</v>
      </c>
      <c r="D8" s="23">
        <f>RATE(10,,-Callan!D18,Callan!N18)</f>
        <v>0.14080007024592425</v>
      </c>
      <c r="E8" s="23">
        <f>RATE(10,,-Callan!E18,Callan!O18)</f>
        <v>0.14707318025797997</v>
      </c>
      <c r="F8" s="23">
        <f>RATE(10,,-Callan!F18,Callan!P18)</f>
        <v>0.1473839166228388</v>
      </c>
      <c r="G8" s="23">
        <f>RATE(10,,-Callan!G18,Callan!Q18)</f>
        <v>0.17361840687557337</v>
      </c>
      <c r="H8" s="23">
        <f>RATE(10,,-Callan!H18,Callan!R18)</f>
        <v>0.16670515501367583</v>
      </c>
      <c r="I8" s="23">
        <f>RATE(10,,-Callan!I18,Callan!S18)</f>
        <v>0.15366409163806505</v>
      </c>
      <c r="J8" s="23">
        <f>RATE(10,,-Callan!J18,Callan!T18)</f>
        <v>0.16875757967476282</v>
      </c>
      <c r="K8" s="23">
        <f>RATE(10,,-Callan!K18,Callan!U18)</f>
        <v>0.13104716848022577</v>
      </c>
      <c r="L8" s="23">
        <f>RATE(10,,-Callan!L18,Callan!V18)</f>
        <v>0.10628059267354434</v>
      </c>
    </row>
    <row r="9" spans="1:12" ht="12.75">
      <c r="A9" s="19" t="str">
        <f>Callan!A19</f>
        <v>Russell 2000 Growth</v>
      </c>
      <c r="B9" s="23">
        <f>RATE(10,,-Callan!B19,Callan!L19)</f>
        <v>0.09103440244686019</v>
      </c>
      <c r="C9" s="23">
        <f>RATE(10,,-Callan!C19,Callan!M19)</f>
        <v>0.08472461851979939</v>
      </c>
      <c r="D9" s="23">
        <f>RATE(10,,-Callan!D19,Callan!N19)</f>
        <v>0.10087016854873619</v>
      </c>
      <c r="E9" s="23">
        <f>RATE(10,,-Callan!E19,Callan!O19)</f>
        <v>0.10092899299971832</v>
      </c>
      <c r="F9" s="23">
        <f>RATE(10,,-Callan!F19,Callan!P19)</f>
        <v>0.10888075316388314</v>
      </c>
      <c r="G9" s="23">
        <f>RATE(10,,-Callan!G19,Callan!Q19)</f>
        <v>0.1349422692082601</v>
      </c>
      <c r="H9" s="23">
        <f>RATE(10,,-Callan!H19,Callan!R19)</f>
        <v>0.11544782433768025</v>
      </c>
      <c r="I9" s="23">
        <f>RATE(10,,-Callan!I19,Callan!S19)</f>
        <v>0.13510019202066</v>
      </c>
      <c r="J9" s="23">
        <f>RATE(10,,-Callan!J19,Callan!T19)</f>
        <v>0.128018152230932</v>
      </c>
      <c r="K9" s="23">
        <f>RATE(10,,-Callan!K19,Callan!U19)</f>
        <v>0.07191633170232477</v>
      </c>
      <c r="L9" s="23">
        <f>RATE(10,,-Callan!L19,Callan!V19)</f>
        <v>0.02626447073754262</v>
      </c>
    </row>
    <row r="10" spans="1:12" ht="12.75">
      <c r="A10" s="19" t="str">
        <f>Callan!A20</f>
        <v>MSCI/EAFE</v>
      </c>
      <c r="B10" s="23">
        <f>RATE(10,,-Callan!B20,Callan!L20)</f>
        <v>0.16694092476044967</v>
      </c>
      <c r="C10" s="23">
        <f>RATE(10,,-Callan!C20,Callan!M20)</f>
        <v>0.17505971526879083</v>
      </c>
      <c r="D10" s="23">
        <f>RATE(10,,-Callan!D20,Callan!N20)</f>
        <v>0.17546386721544102</v>
      </c>
      <c r="E10" s="23">
        <f>RATE(10,,-Callan!E20,Callan!O20)</f>
        <v>0.1362456939660291</v>
      </c>
      <c r="F10" s="23">
        <f>RATE(10,,-Callan!F20,Callan!P20)</f>
        <v>0.0842179609988626</v>
      </c>
      <c r="G10" s="23">
        <f>RATE(10,,-Callan!G20,Callan!Q20)</f>
        <v>0.06247103231513355</v>
      </c>
      <c r="H10" s="23">
        <f>RATE(10,,-Callan!H20,Callan!R20)</f>
        <v>0.05542189413922182</v>
      </c>
      <c r="I10" s="23">
        <f>RATE(10,,-Callan!I20,Callan!S20)</f>
        <v>0.07015028998165995</v>
      </c>
      <c r="J10" s="23">
        <f>RATE(10,,-Callan!J20,Callan!T20)</f>
        <v>0.08246575349482504</v>
      </c>
      <c r="K10" s="23">
        <f>RATE(10,,-Callan!K20,Callan!U20)</f>
        <v>0.04461981020650175</v>
      </c>
      <c r="L10" s="23">
        <f>RATE(10,,-Callan!L20,Callan!V20)</f>
        <v>0.04005870396359081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dcterms:created xsi:type="dcterms:W3CDTF">2003-06-22T18:52:38Z</dcterms:created>
  <dcterms:modified xsi:type="dcterms:W3CDTF">2003-06-25T17:04:08Z</dcterms:modified>
  <cp:category/>
  <cp:version/>
  <cp:contentType/>
  <cp:contentStatus/>
</cp:coreProperties>
</file>