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95" yWindow="660" windowWidth="14805" windowHeight="6675" tabRatio="764" activeTab="0"/>
  </bookViews>
  <sheets>
    <sheet name="LMIC" sheetId="1" r:id="rId1"/>
    <sheet name="AGX" sheetId="2" r:id="rId2"/>
    <sheet name="BOFI" sheetId="3" r:id="rId3"/>
    <sheet name="DY" sheetId="4" r:id="rId4"/>
    <sheet name="FB" sheetId="5" r:id="rId5"/>
    <sheet name="FDS" sheetId="6" r:id="rId6"/>
    <sheet name="GNTX" sheetId="7" r:id="rId7"/>
    <sheet name="GOOGL" sheetId="8" r:id="rId8"/>
    <sheet name="JBLU" sheetId="9" r:id="rId9"/>
    <sheet name="LAD" sheetId="10" r:id="rId10"/>
    <sheet name="LKQ" sheetId="11" r:id="rId11"/>
    <sheet name="OZRK" sheetId="12" r:id="rId12"/>
    <sheet name="SBUX" sheetId="13" r:id="rId13"/>
    <sheet name="SFST" sheetId="14" r:id="rId14"/>
    <sheet name="TSCO" sheetId="15" r:id="rId15"/>
    <sheet name="Stock Prices" sheetId="16" r:id="rId16"/>
    <sheet name="Historic sells" sheetId="17" r:id="rId17"/>
  </sheets>
  <definedNames>
    <definedName name="colCurrentDate">'Stock Prices'!$C$4</definedName>
    <definedName name="colCurrentPrice">'Stock Prices'!$D$4</definedName>
    <definedName name="InvestedAmount">'LMIC'!$H$49</definedName>
    <definedName name="_xlnm.Print_Area" localSheetId="0">'LMIC'!$A$1:$P$54</definedName>
    <definedName name="Profit">'LMIC'!$L$49</definedName>
    <definedName name="TickerStart">'LMIC'!$F$2</definedName>
    <definedName name="TickerStop">'LMIC'!$F$48</definedName>
    <definedName name="TickerSymbols">'Stock Prices'!$B$5:$B$18</definedName>
    <definedName name="ValueAmount">'LMIC'!$K$49</definedName>
  </definedNames>
  <calcPr fullCalcOnLoad="1"/>
</workbook>
</file>

<file path=xl/comments1.xml><?xml version="1.0" encoding="utf-8"?>
<comments xmlns="http://schemas.openxmlformats.org/spreadsheetml/2006/main">
  <authors>
    <author>Mann, Bob (R.C.)</author>
  </authors>
  <commentList>
    <comment ref="M2" authorId="0">
      <text>
        <r>
          <rPr>
            <b/>
            <sz val="9"/>
            <rFont val="Tahoma"/>
            <family val="2"/>
          </rPr>
          <t>Return on Investment</t>
        </r>
      </text>
    </comment>
    <comment ref="O2" authorId="0">
      <text>
        <r>
          <rPr>
            <b/>
            <sz val="9"/>
            <rFont val="Tahoma"/>
            <family val="2"/>
          </rPr>
          <t>IRR: Internal Rate of Return. Time-weighted calculation of return.</t>
        </r>
      </text>
    </comment>
  </commentList>
</comments>
</file>

<file path=xl/sharedStrings.xml><?xml version="1.0" encoding="utf-8"?>
<sst xmlns="http://schemas.openxmlformats.org/spreadsheetml/2006/main" count="351" uniqueCount="105">
  <si>
    <t>Ticker</t>
  </si>
  <si>
    <t># Tickers</t>
  </si>
  <si>
    <t>Current Price</t>
  </si>
  <si>
    <t>Current Date</t>
  </si>
  <si>
    <t>Date</t>
  </si>
  <si>
    <t>First</t>
  </si>
  <si>
    <t>Last</t>
  </si>
  <si>
    <t>Lunch Money Investment Club</t>
  </si>
  <si>
    <t>Sector</t>
  </si>
  <si>
    <t>Symbol</t>
  </si>
  <si>
    <t>Shares</t>
  </si>
  <si>
    <t>$ (cost)</t>
  </si>
  <si>
    <t>Break Even</t>
  </si>
  <si>
    <t>Price</t>
  </si>
  <si>
    <t>Value</t>
  </si>
  <si>
    <t>P / (L)</t>
  </si>
  <si>
    <t>ROI</t>
  </si>
  <si>
    <t>% of Value</t>
  </si>
  <si>
    <t>Cash</t>
  </si>
  <si>
    <t>CASH</t>
  </si>
  <si>
    <t>stocks owned:</t>
  </si>
  <si>
    <t>Max Own Position:</t>
  </si>
  <si>
    <t>Max Buy Position:</t>
  </si>
  <si>
    <t>Min Own Position:</t>
  </si>
  <si>
    <t># Tickers in B2 must match count on 'LMIC' worksheet</t>
  </si>
  <si>
    <t>If Ticker list extends beyond 'Last'</t>
  </si>
  <si>
    <t xml:space="preserve">     Modify TickerSymbols name to cover more rows</t>
  </si>
  <si>
    <t xml:space="preserve">     Modify yellow boxes on 'LMIC' worksheet to cover correct rows</t>
  </si>
  <si>
    <t xml:space="preserve">return as of </t>
  </si>
  <si>
    <t>IRR</t>
  </si>
  <si>
    <t>$ under cap</t>
  </si>
  <si>
    <t>Energy</t>
  </si>
  <si>
    <t>Asset</t>
  </si>
  <si>
    <t>Consumer Cyclical</t>
  </si>
  <si>
    <t>Technology</t>
  </si>
  <si>
    <t>Basic Materials</t>
  </si>
  <si>
    <t>Utilities</t>
  </si>
  <si>
    <t>Break</t>
  </si>
  <si>
    <t>Even</t>
  </si>
  <si>
    <t>FolioFN</t>
  </si>
  <si>
    <t>weighted IRR</t>
  </si>
  <si>
    <t>Weighted</t>
  </si>
  <si>
    <t>QCOM</t>
  </si>
  <si>
    <t>CACC</t>
  </si>
  <si>
    <t>TROW</t>
  </si>
  <si>
    <t>CTSH</t>
  </si>
  <si>
    <t>KORS</t>
  </si>
  <si>
    <t>OII</t>
  </si>
  <si>
    <t>FOSL</t>
  </si>
  <si>
    <t>SLB</t>
  </si>
  <si>
    <t>STRT</t>
  </si>
  <si>
    <t>Bought</t>
  </si>
  <si>
    <t>Sold</t>
  </si>
  <si>
    <t># Shares</t>
  </si>
  <si>
    <t>Reason</t>
  </si>
  <si>
    <t>RV 156</t>
  </si>
  <si>
    <t>FAST</t>
  </si>
  <si>
    <t>GNTX</t>
  </si>
  <si>
    <t>LKQ</t>
  </si>
  <si>
    <t>WFM</t>
  </si>
  <si>
    <t>SFST</t>
  </si>
  <si>
    <t>NATH</t>
  </si>
  <si>
    <t>declining trend</t>
  </si>
  <si>
    <t>declining trend &amp; management downgrade</t>
  </si>
  <si>
    <t>Size</t>
  </si>
  <si>
    <t>Large</t>
  </si>
  <si>
    <t>Micro</t>
  </si>
  <si>
    <t>Medium</t>
  </si>
  <si>
    <t>Mega</t>
  </si>
  <si>
    <t>KNX</t>
  </si>
  <si>
    <t>ABAX</t>
  </si>
  <si>
    <t>Services</t>
  </si>
  <si>
    <t>Conglomerates</t>
  </si>
  <si>
    <t>Retail (Specialty Non-Apparel)</t>
  </si>
  <si>
    <t>LAD</t>
  </si>
  <si>
    <t>GOOGL</t>
  </si>
  <si>
    <t>negative values in trend</t>
  </si>
  <si>
    <t>Small</t>
  </si>
  <si>
    <t>BOFI</t>
  </si>
  <si>
    <t>LOPE</t>
  </si>
  <si>
    <t>FB</t>
  </si>
  <si>
    <t>RGR</t>
  </si>
  <si>
    <t>Industrial</t>
  </si>
  <si>
    <t>Consumer Defensive</t>
  </si>
  <si>
    <t>Financial Services</t>
  </si>
  <si>
    <t>Healthcare</t>
  </si>
  <si>
    <t>Al</t>
  </si>
  <si>
    <t>Bob</t>
  </si>
  <si>
    <t>Trevor</t>
  </si>
  <si>
    <t>Kishore</t>
  </si>
  <si>
    <t>Damian</t>
  </si>
  <si>
    <t>Gama</t>
  </si>
  <si>
    <t>Watcher</t>
  </si>
  <si>
    <t>Stock</t>
  </si>
  <si>
    <t>declining trend, very negative values</t>
  </si>
  <si>
    <t>SBUX</t>
  </si>
  <si>
    <t>Scot</t>
  </si>
  <si>
    <t>JBLU</t>
  </si>
  <si>
    <t>TSCO</t>
  </si>
  <si>
    <t>Prices</t>
  </si>
  <si>
    <t>DY</t>
  </si>
  <si>
    <t>AGX</t>
  </si>
  <si>
    <t>OZRK</t>
  </si>
  <si>
    <t>FDS</t>
  </si>
  <si>
    <t>Finacial Services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</si>
</sst>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dddd"/>
    <numFmt numFmtId="167" formatCode="00.00"/>
    <numFmt numFmtId="168" formatCode="[$-409]d\-mmm;@"/>
    <numFmt numFmtId="169" formatCode="[$-409]mmmmm\-yy;@"/>
    <numFmt numFmtId="170" formatCode="[$-409]mmm\-yy;@"/>
    <numFmt numFmtId="171" formatCode="[$-409]mmm\-dd;@"/>
    <numFmt numFmtId="172" formatCode="0.0%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_);[Red]\(0.00\)"/>
    <numFmt numFmtId="180" formatCode="m/d/yy"/>
    <numFmt numFmtId="181" formatCode="0.000_);[Red]\(0.000\)"/>
    <numFmt numFmtId="182" formatCode="0.00_)"/>
    <numFmt numFmtId="183" formatCode="0.000%"/>
    <numFmt numFmtId="184" formatCode="&quot;$&quot;#,##0;[Red]&quot;$&quot;#,##0"/>
    <numFmt numFmtId="185" formatCode="mmm\-yyyy"/>
    <numFmt numFmtId="186" formatCode="&quot;$&quot;#,##0"/>
    <numFmt numFmtId="187" formatCode="&quot;$&quot;#,##0.00"/>
    <numFmt numFmtId="188" formatCode="&quot;$&quot;#,##0.000"/>
    <numFmt numFmtId="189" formatCode="0.0_);[Red]\(0.0\)"/>
    <numFmt numFmtId="190" formatCode="0.00000_);[Red]\(0.00000\)"/>
    <numFmt numFmtId="191" formatCode="#,##0.000000000000_);\(#,##0.000000000000\)"/>
    <numFmt numFmtId="192" formatCode="#,##0.000000000000_);[Red]\(#,##0.000000000000\)"/>
    <numFmt numFmtId="193" formatCode="0.0000_);[Red]\(0.0000\)"/>
    <numFmt numFmtId="194" formatCode="#,##0.00000_);[Red]\(#,##0.00000\)"/>
    <numFmt numFmtId="195" formatCode="#,##0.0000000_);\(#,##0.0000000\)"/>
    <numFmt numFmtId="196" formatCode="#,##0.0_);\(#,##0.0\)"/>
    <numFmt numFmtId="197" formatCode="#,##0.0000000_);[Red]\(#,##0.0000000\)"/>
    <numFmt numFmtId="198" formatCode="#,##0.00000000000000_);[Red]\(#,##0.00000000000000\)"/>
    <numFmt numFmtId="199" formatCode="0.000000_);[Red]\(0.000000\)"/>
    <numFmt numFmtId="200" formatCode="0.000000"/>
    <numFmt numFmtId="201" formatCode="0.00000"/>
    <numFmt numFmtId="202" formatCode="0.00000000000000%"/>
    <numFmt numFmtId="203" formatCode="0.000000000000000%"/>
    <numFmt numFmtId="204" formatCode="#,##0.00000"/>
    <numFmt numFmtId="205" formatCode="m/d/yy;@"/>
    <numFmt numFmtId="206" formatCode="#,##0.00000000000_);\(#,##0.00000000000\)"/>
    <numFmt numFmtId="207" formatCode="0.0000"/>
    <numFmt numFmtId="208" formatCode="0.0000000_);[Red]\(0.0000000\)"/>
    <numFmt numFmtId="209" formatCode="#,##0.00000000_);\(#,##0.00000000\)"/>
    <numFmt numFmtId="210" formatCode="&quot;$&quot;#,##0.0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i/>
      <sz val="11"/>
      <color indexed="57"/>
      <name val="Arial"/>
      <family val="2"/>
    </font>
    <font>
      <b/>
      <i/>
      <sz val="9"/>
      <color indexed="57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9"/>
      <name val="Tahoma"/>
      <family val="2"/>
    </font>
    <font>
      <sz val="12"/>
      <name val="Arial"/>
      <family val="2"/>
    </font>
    <font>
      <sz val="10"/>
      <color indexed="8"/>
      <name val="Calibri"/>
      <family val="0"/>
    </font>
    <font>
      <sz val="4.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7" fontId="0" fillId="0" borderId="0" xfId="44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9" fontId="5" fillId="0" borderId="0" xfId="0" applyNumberFormat="1" applyFont="1" applyAlignment="1">
      <alignment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40" fontId="7" fillId="0" borderId="0" xfId="0" applyNumberFormat="1" applyFont="1" applyAlignment="1">
      <alignment/>
    </xf>
    <xf numFmtId="178" fontId="6" fillId="0" borderId="0" xfId="0" applyNumberFormat="1" applyFont="1" applyAlignment="1" applyProtection="1">
      <alignment/>
      <protection/>
    </xf>
    <xf numFmtId="172" fontId="6" fillId="0" borderId="0" xfId="0" applyNumberFormat="1" applyFont="1" applyAlignment="1">
      <alignment horizontal="center"/>
    </xf>
    <xf numFmtId="0" fontId="9" fillId="0" borderId="10" xfId="0" applyFont="1" applyBorder="1" applyAlignment="1">
      <alignment/>
    </xf>
    <xf numFmtId="172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 horizontal="center"/>
    </xf>
    <xf numFmtId="179" fontId="9" fillId="0" borderId="10" xfId="0" applyNumberFormat="1" applyFont="1" applyBorder="1" applyAlignment="1" applyProtection="1">
      <alignment horizontal="center"/>
      <protection/>
    </xf>
    <xf numFmtId="40" fontId="8" fillId="0" borderId="10" xfId="0" applyNumberFormat="1" applyFont="1" applyBorder="1" applyAlignment="1">
      <alignment horizontal="center"/>
    </xf>
    <xf numFmtId="183" fontId="9" fillId="0" borderId="10" xfId="0" applyNumberFormat="1" applyFont="1" applyBorder="1" applyAlignment="1" applyProtection="1">
      <alignment horizontal="center"/>
      <protection/>
    </xf>
    <xf numFmtId="172" fontId="9" fillId="0" borderId="10" xfId="0" applyNumberFormat="1" applyFont="1" applyFill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2" fontId="11" fillId="0" borderId="0" xfId="0" applyNumberFormat="1" applyFont="1" applyAlignment="1">
      <alignment/>
    </xf>
    <xf numFmtId="180" fontId="6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3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40" fontId="6" fillId="0" borderId="0" xfId="0" applyNumberFormat="1" applyFont="1" applyAlignment="1" applyProtection="1">
      <alignment/>
      <protection/>
    </xf>
    <xf numFmtId="40" fontId="7" fillId="0" borderId="0" xfId="0" applyNumberFormat="1" applyFont="1" applyAlignment="1" applyProtection="1">
      <alignment/>
      <protection/>
    </xf>
    <xf numFmtId="172" fontId="6" fillId="0" borderId="0" xfId="0" applyNumberFormat="1" applyFont="1" applyAlignment="1" applyProtection="1">
      <alignment/>
      <protection/>
    </xf>
    <xf numFmtId="181" fontId="6" fillId="0" borderId="0" xfId="0" applyNumberFormat="1" applyFont="1" applyBorder="1" applyAlignment="1">
      <alignment/>
    </xf>
    <xf numFmtId="39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179" fontId="6" fillId="0" borderId="0" xfId="0" applyNumberFormat="1" applyFont="1" applyFill="1" applyBorder="1" applyAlignment="1" applyProtection="1">
      <alignment/>
      <protection/>
    </xf>
    <xf numFmtId="40" fontId="7" fillId="0" borderId="0" xfId="0" applyNumberFormat="1" applyFont="1" applyBorder="1" applyAlignment="1" applyProtection="1">
      <alignment/>
      <protection/>
    </xf>
    <xf numFmtId="172" fontId="6" fillId="0" borderId="0" xfId="0" applyNumberFormat="1" applyFont="1" applyBorder="1" applyAlignment="1" applyProtection="1">
      <alignment/>
      <protection/>
    </xf>
    <xf numFmtId="39" fontId="6" fillId="0" borderId="11" xfId="0" applyNumberFormat="1" applyFont="1" applyBorder="1" applyAlignment="1" applyProtection="1">
      <alignment/>
      <protection/>
    </xf>
    <xf numFmtId="2" fontId="6" fillId="0" borderId="11" xfId="0" applyNumberFormat="1" applyFont="1" applyBorder="1" applyAlignment="1" applyProtection="1">
      <alignment/>
      <protection/>
    </xf>
    <xf numFmtId="40" fontId="7" fillId="0" borderId="11" xfId="0" applyNumberFormat="1" applyFont="1" applyBorder="1" applyAlignment="1" applyProtection="1">
      <alignment/>
      <protection/>
    </xf>
    <xf numFmtId="172" fontId="6" fillId="0" borderId="11" xfId="0" applyNumberFormat="1" applyFont="1" applyBorder="1" applyAlignment="1" applyProtection="1">
      <alignment/>
      <protection/>
    </xf>
    <xf numFmtId="179" fontId="6" fillId="0" borderId="0" xfId="0" applyNumberFormat="1" applyFont="1" applyAlignment="1" applyProtection="1">
      <alignment/>
      <protection/>
    </xf>
    <xf numFmtId="40" fontId="8" fillId="0" borderId="0" xfId="0" applyNumberFormat="1" applyFont="1" applyAlignment="1" applyProtection="1">
      <alignment/>
      <protection/>
    </xf>
    <xf numFmtId="172" fontId="12" fillId="0" borderId="0" xfId="0" applyNumberFormat="1" applyFont="1" applyAlignment="1" applyProtection="1">
      <alignment/>
      <protection/>
    </xf>
    <xf numFmtId="172" fontId="0" fillId="32" borderId="0" xfId="0" applyNumberFormat="1" applyFont="1" applyFill="1" applyAlignment="1" applyProtection="1">
      <alignment/>
      <protection/>
    </xf>
    <xf numFmtId="9" fontId="6" fillId="0" borderId="0" xfId="59" applyFont="1" applyAlignment="1">
      <alignment/>
    </xf>
    <xf numFmtId="1" fontId="13" fillId="3" borderId="12" xfId="0" applyNumberFormat="1" applyFont="1" applyFill="1" applyBorder="1" applyAlignment="1">
      <alignment horizontal="center"/>
    </xf>
    <xf numFmtId="172" fontId="13" fillId="33" borderId="13" xfId="0" applyNumberFormat="1" applyFont="1" applyFill="1" applyBorder="1" applyAlignment="1">
      <alignment/>
    </xf>
    <xf numFmtId="172" fontId="13" fillId="3" borderId="13" xfId="0" applyNumberFormat="1" applyFont="1" applyFill="1" applyBorder="1" applyAlignment="1">
      <alignment/>
    </xf>
    <xf numFmtId="172" fontId="13" fillId="33" borderId="14" xfId="0" applyNumberFormat="1" applyFont="1" applyFill="1" applyBorder="1" applyAlignment="1">
      <alignment/>
    </xf>
    <xf numFmtId="172" fontId="12" fillId="18" borderId="15" xfId="0" applyNumberFormat="1" applyFont="1" applyFill="1" applyBorder="1" applyAlignment="1" applyProtection="1">
      <alignment/>
      <protection/>
    </xf>
    <xf numFmtId="165" fontId="13" fillId="18" borderId="16" xfId="0" applyNumberFormat="1" applyFont="1" applyFill="1" applyBorder="1" applyAlignment="1">
      <alignment horizontal="left"/>
    </xf>
    <xf numFmtId="186" fontId="14" fillId="33" borderId="17" xfId="0" applyNumberFormat="1" applyFont="1" applyFill="1" applyBorder="1" applyAlignment="1">
      <alignment/>
    </xf>
    <xf numFmtId="186" fontId="14" fillId="3" borderId="17" xfId="0" applyNumberFormat="1" applyFont="1" applyFill="1" applyBorder="1" applyAlignment="1">
      <alignment/>
    </xf>
    <xf numFmtId="186" fontId="14" fillId="33" borderId="18" xfId="0" applyNumberFormat="1" applyFont="1" applyFill="1" applyBorder="1" applyAlignment="1">
      <alignment/>
    </xf>
    <xf numFmtId="187" fontId="6" fillId="0" borderId="0" xfId="0" applyNumberFormat="1" applyFont="1" applyAlignment="1">
      <alignment/>
    </xf>
    <xf numFmtId="187" fontId="9" fillId="0" borderId="10" xfId="0" applyNumberFormat="1" applyFont="1" applyBorder="1" applyAlignment="1">
      <alignment/>
    </xf>
    <xf numFmtId="187" fontId="11" fillId="0" borderId="0" xfId="0" applyNumberFormat="1" applyFont="1" applyAlignment="1">
      <alignment/>
    </xf>
    <xf numFmtId="187" fontId="9" fillId="0" borderId="10" xfId="0" applyNumberFormat="1" applyFont="1" applyBorder="1" applyAlignment="1">
      <alignment horizontal="center"/>
    </xf>
    <xf numFmtId="187" fontId="6" fillId="0" borderId="0" xfId="0" applyNumberFormat="1" applyFont="1" applyAlignment="1" applyProtection="1">
      <alignment/>
      <protection/>
    </xf>
    <xf numFmtId="187" fontId="6" fillId="0" borderId="11" xfId="0" applyNumberFormat="1" applyFont="1" applyBorder="1" applyAlignment="1" applyProtection="1">
      <alignment/>
      <protection/>
    </xf>
    <xf numFmtId="187" fontId="6" fillId="0" borderId="0" xfId="0" applyNumberFormat="1" applyFont="1" applyBorder="1" applyAlignment="1" applyProtection="1">
      <alignment/>
      <protection/>
    </xf>
    <xf numFmtId="180" fontId="9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10" fontId="6" fillId="0" borderId="0" xfId="0" applyNumberFormat="1" applyFont="1" applyAlignment="1">
      <alignment/>
    </xf>
    <xf numFmtId="187" fontId="0" fillId="0" borderId="0" xfId="0" applyNumberFormat="1" applyAlignment="1">
      <alignment/>
    </xf>
    <xf numFmtId="172" fontId="9" fillId="0" borderId="0" xfId="0" applyNumberFormat="1" applyFont="1" applyBorder="1" applyAlignment="1">
      <alignment horizontal="center"/>
    </xf>
    <xf numFmtId="10" fontId="16" fillId="0" borderId="0" xfId="0" applyNumberFormat="1" applyFont="1" applyAlignment="1">
      <alignment/>
    </xf>
    <xf numFmtId="172" fontId="6" fillId="34" borderId="0" xfId="0" applyNumberFormat="1" applyFont="1" applyFill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81" fontId="9" fillId="0" borderId="0" xfId="0" applyNumberFormat="1" applyFont="1" applyBorder="1" applyAlignment="1">
      <alignment horizontal="center"/>
    </xf>
    <xf numFmtId="182" fontId="9" fillId="0" borderId="0" xfId="0" applyNumberFormat="1" applyFont="1" applyBorder="1" applyAlignment="1" applyProtection="1">
      <alignment horizontal="center"/>
      <protection/>
    </xf>
    <xf numFmtId="2" fontId="9" fillId="0" borderId="0" xfId="0" applyNumberFormat="1" applyFont="1" applyBorder="1" applyAlignment="1" applyProtection="1" quotePrefix="1">
      <alignment horizontal="center"/>
      <protection/>
    </xf>
    <xf numFmtId="179" fontId="9" fillId="0" borderId="0" xfId="0" applyNumberFormat="1" applyFont="1" applyBorder="1" applyAlignment="1" applyProtection="1">
      <alignment horizontal="center"/>
      <protection/>
    </xf>
    <xf numFmtId="187" fontId="9" fillId="0" borderId="0" xfId="0" applyNumberFormat="1" applyFont="1" applyBorder="1" applyAlignment="1">
      <alignment horizontal="center"/>
    </xf>
    <xf numFmtId="40" fontId="8" fillId="0" borderId="0" xfId="0" applyNumberFormat="1" applyFont="1" applyBorder="1" applyAlignment="1">
      <alignment horizontal="center"/>
    </xf>
    <xf numFmtId="183" fontId="9" fillId="0" borderId="0" xfId="0" applyNumberFormat="1" applyFont="1" applyBorder="1" applyAlignment="1" applyProtection="1">
      <alignment horizontal="center"/>
      <protection/>
    </xf>
    <xf numFmtId="179" fontId="6" fillId="0" borderId="0" xfId="0" applyNumberFormat="1" applyFont="1" applyBorder="1" applyAlignment="1" applyProtection="1">
      <alignment/>
      <protection/>
    </xf>
    <xf numFmtId="172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13" fillId="18" borderId="19" xfId="0" applyNumberFormat="1" applyFont="1" applyFill="1" applyBorder="1" applyAlignment="1">
      <alignment horizontal="center"/>
    </xf>
    <xf numFmtId="2" fontId="9" fillId="0" borderId="10" xfId="0" applyNumberFormat="1" applyFont="1" applyBorder="1" applyAlignment="1" applyProtection="1">
      <alignment horizontal="center"/>
      <protection/>
    </xf>
    <xf numFmtId="2" fontId="9" fillId="0" borderId="0" xfId="0" applyNumberFormat="1" applyFont="1" applyAlignment="1">
      <alignment horizontal="center"/>
    </xf>
    <xf numFmtId="187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 applyProtection="1">
      <alignment/>
      <protection/>
    </xf>
    <xf numFmtId="179" fontId="0" fillId="0" borderId="0" xfId="0" applyNumberFormat="1" applyFont="1" applyAlignment="1" applyProtection="1">
      <alignment/>
      <protection/>
    </xf>
    <xf numFmtId="187" fontId="0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/>
      <protection/>
    </xf>
    <xf numFmtId="40" fontId="17" fillId="0" borderId="0" xfId="0" applyNumberFormat="1" applyFont="1" applyAlignment="1" applyProtection="1">
      <alignment/>
      <protection/>
    </xf>
    <xf numFmtId="172" fontId="6" fillId="0" borderId="20" xfId="0" applyNumberFormat="1" applyFont="1" applyFill="1" applyBorder="1" applyAlignment="1">
      <alignment horizontal="center"/>
    </xf>
    <xf numFmtId="172" fontId="15" fillId="0" borderId="0" xfId="0" applyNumberFormat="1" applyFont="1" applyAlignment="1">
      <alignment/>
    </xf>
    <xf numFmtId="172" fontId="17" fillId="0" borderId="0" xfId="0" applyNumberFormat="1" applyFont="1" applyAlignment="1" applyProtection="1">
      <alignment/>
      <protection/>
    </xf>
    <xf numFmtId="187" fontId="6" fillId="0" borderId="0" xfId="0" applyNumberFormat="1" applyFont="1" applyFill="1" applyAlignment="1">
      <alignment horizontal="center"/>
    </xf>
    <xf numFmtId="172" fontId="6" fillId="35" borderId="0" xfId="0" applyNumberFormat="1" applyFont="1" applyFill="1" applyBorder="1" applyAlignment="1">
      <alignment horizontal="center"/>
    </xf>
    <xf numFmtId="187" fontId="9" fillId="0" borderId="10" xfId="0" applyNumberFormat="1" applyFont="1" applyBorder="1" applyAlignment="1" applyProtection="1">
      <alignment horizontal="center"/>
      <protection/>
    </xf>
    <xf numFmtId="199" fontId="6" fillId="0" borderId="0" xfId="0" applyNumberFormat="1" applyFont="1" applyBorder="1" applyAlignment="1">
      <alignment/>
    </xf>
    <xf numFmtId="199" fontId="6" fillId="0" borderId="11" xfId="0" applyNumberFormat="1" applyFont="1" applyBorder="1" applyAlignment="1">
      <alignment/>
    </xf>
    <xf numFmtId="172" fontId="6" fillId="0" borderId="0" xfId="0" applyNumberFormat="1" applyFont="1" applyAlignment="1">
      <alignment horizontal="left"/>
    </xf>
    <xf numFmtId="190" fontId="6" fillId="0" borderId="0" xfId="0" applyNumberFormat="1" applyFont="1" applyAlignment="1">
      <alignment/>
    </xf>
    <xf numFmtId="204" fontId="9" fillId="0" borderId="10" xfId="0" applyNumberFormat="1" applyFont="1" applyBorder="1" applyAlignment="1">
      <alignment horizontal="center"/>
    </xf>
    <xf numFmtId="204" fontId="6" fillId="0" borderId="0" xfId="0" applyNumberFormat="1" applyFont="1" applyFill="1" applyAlignment="1">
      <alignment horizontal="center"/>
    </xf>
    <xf numFmtId="204" fontId="9" fillId="0" borderId="0" xfId="0" applyNumberFormat="1" applyFont="1" applyAlignment="1">
      <alignment horizontal="center"/>
    </xf>
    <xf numFmtId="204" fontId="6" fillId="0" borderId="0" xfId="0" applyNumberFormat="1" applyFont="1" applyAlignment="1">
      <alignment horizontal="center"/>
    </xf>
    <xf numFmtId="204" fontId="0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9" fontId="6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87" fontId="6" fillId="0" borderId="0" xfId="0" applyNumberFormat="1" applyFont="1" applyAlignment="1">
      <alignment horizontal="center"/>
    </xf>
    <xf numFmtId="40" fontId="6" fillId="0" borderId="0" xfId="0" applyNumberFormat="1" applyFont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2" fillId="12" borderId="0" xfId="0" applyFont="1" applyFill="1" applyAlignment="1">
      <alignment/>
    </xf>
    <xf numFmtId="180" fontId="6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9" fillId="0" borderId="0" xfId="0" applyFont="1" applyAlignment="1">
      <alignment/>
    </xf>
    <xf numFmtId="187" fontId="57" fillId="0" borderId="0" xfId="0" applyNumberFormat="1" applyFont="1" applyAlignment="1">
      <alignment/>
    </xf>
    <xf numFmtId="187" fontId="0" fillId="0" borderId="11" xfId="0" applyNumberFormat="1" applyFont="1" applyBorder="1" applyAlignment="1" applyProtection="1">
      <alignment/>
      <protection/>
    </xf>
    <xf numFmtId="190" fontId="6" fillId="0" borderId="0" xfId="0" applyNumberFormat="1" applyFont="1" applyBorder="1" applyAlignment="1">
      <alignment/>
    </xf>
    <xf numFmtId="190" fontId="6" fillId="0" borderId="11" xfId="0" applyNumberFormat="1" applyFont="1" applyBorder="1" applyAlignment="1">
      <alignment/>
    </xf>
    <xf numFmtId="40" fontId="6" fillId="0" borderId="0" xfId="0" applyNumberFormat="1" applyFont="1" applyFill="1" applyAlignment="1">
      <alignment horizontal="center"/>
    </xf>
    <xf numFmtId="204" fontId="6" fillId="0" borderId="0" xfId="0" applyNumberFormat="1" applyFont="1" applyAlignment="1">
      <alignment horizontal="right"/>
    </xf>
    <xf numFmtId="8" fontId="6" fillId="0" borderId="0" xfId="0" applyNumberFormat="1" applyFont="1" applyBorder="1" applyAlignment="1">
      <alignment/>
    </xf>
    <xf numFmtId="8" fontId="11" fillId="0" borderId="0" xfId="0" applyNumberFormat="1" applyFont="1" applyBorder="1" applyAlignment="1">
      <alignment/>
    </xf>
    <xf numFmtId="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8" fontId="6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187" fontId="0" fillId="0" borderId="0" xfId="0" applyNumberFormat="1" applyFont="1" applyAlignment="1">
      <alignment/>
    </xf>
    <xf numFmtId="186" fontId="0" fillId="0" borderId="0" xfId="0" applyNumberFormat="1" applyFont="1" applyAlignment="1">
      <alignment horizontal="center"/>
    </xf>
    <xf numFmtId="10" fontId="9" fillId="0" borderId="0" xfId="0" applyNumberFormat="1" applyFont="1" applyAlignment="1">
      <alignment horizontal="center"/>
    </xf>
    <xf numFmtId="16" fontId="6" fillId="0" borderId="0" xfId="0" applyNumberFormat="1" applyFont="1" applyAlignment="1">
      <alignment horizontal="center"/>
    </xf>
    <xf numFmtId="0" fontId="9" fillId="3" borderId="21" xfId="0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14" fillId="33" borderId="23" xfId="0" applyFont="1" applyFill="1" applyBorder="1" applyAlignment="1">
      <alignment horizontal="right"/>
    </xf>
    <xf numFmtId="0" fontId="15" fillId="33" borderId="16" xfId="0" applyFont="1" applyFill="1" applyBorder="1" applyAlignment="1">
      <alignment horizontal="right"/>
    </xf>
    <xf numFmtId="0" fontId="14" fillId="3" borderId="23" xfId="0" applyFont="1" applyFill="1" applyBorder="1" applyAlignment="1">
      <alignment horizontal="right"/>
    </xf>
    <xf numFmtId="0" fontId="15" fillId="3" borderId="16" xfId="0" applyFont="1" applyFill="1" applyBorder="1" applyAlignment="1">
      <alignment horizontal="right"/>
    </xf>
    <xf numFmtId="0" fontId="14" fillId="33" borderId="24" xfId="0" applyFont="1" applyFill="1" applyBorder="1" applyAlignment="1">
      <alignment horizontal="right"/>
    </xf>
    <xf numFmtId="0" fontId="15" fillId="33" borderId="1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76">
    <dxf>
      <font>
        <color indexed="10"/>
      </font>
    </dxf>
    <dxf>
      <font>
        <color indexed="17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0"/>
      </font>
    </dxf>
    <dxf>
      <font>
        <color indexed="17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0"/>
      </font>
    </dxf>
    <dxf>
      <font>
        <color indexed="17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0"/>
      </font>
    </dxf>
    <dxf>
      <font>
        <color indexed="17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0"/>
      </font>
    </dxf>
    <dxf>
      <font>
        <color indexed="17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0"/>
      </font>
    </dxf>
    <dxf>
      <font>
        <color indexed="17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0"/>
      </font>
    </dxf>
    <dxf>
      <font>
        <color indexed="17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b/>
        <i val="0"/>
      </font>
      <fill>
        <patternFill patternType="solid">
          <bgColor indexed="13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indexed="53"/>
        </patternFill>
      </fill>
    </dxf>
    <dxf>
      <fill>
        <patternFill>
          <bgColor indexed="45"/>
        </patternFill>
      </fill>
    </dxf>
    <dxf>
      <fill>
        <patternFill>
          <bgColor indexed="53"/>
        </patternFill>
      </fill>
    </dxf>
    <dxf>
      <font>
        <color auto="1"/>
      </font>
      <fill>
        <patternFill>
          <bgColor indexed="53"/>
        </patternFill>
      </fill>
    </dxf>
    <dxf>
      <font>
        <color auto="1"/>
      </font>
      <fill>
        <patternFill>
          <bgColor indexed="53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rgb="FFFF0000"/>
      </font>
    </dxf>
    <dxf>
      <font>
        <color auto="1"/>
      </font>
      <fill>
        <patternFill>
          <bgColor indexed="53"/>
        </patternFill>
      </fill>
    </dxf>
    <dxf>
      <font>
        <color rgb="FFFF0000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53"/>
        </patternFill>
      </fill>
    </dxf>
    <dxf>
      <font>
        <color auto="1"/>
      </font>
      <fill>
        <patternFill>
          <bgColor indexed="53"/>
        </patternFill>
      </fill>
    </dxf>
    <dxf>
      <font>
        <b/>
        <i val="0"/>
      </font>
      <fill>
        <patternFill patternType="solid">
          <bgColor indexed="13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indexed="53"/>
        </patternFill>
      </fill>
    </dxf>
    <dxf>
      <fill>
        <patternFill>
          <bgColor indexed="45"/>
        </patternFill>
      </fill>
    </dxf>
    <dxf>
      <fill>
        <patternFill>
          <bgColor indexed="53"/>
        </patternFill>
      </fill>
    </dxf>
    <dxf>
      <font>
        <color auto="1"/>
      </font>
      <fill>
        <patternFill>
          <bgColor indexed="53"/>
        </patternFill>
      </fill>
    </dxf>
    <dxf>
      <font>
        <color auto="1"/>
      </font>
      <fill>
        <patternFill>
          <bgColor indexed="53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rgb="FFFF0000"/>
      </font>
    </dxf>
    <dxf>
      <font>
        <color auto="1"/>
      </font>
      <fill>
        <patternFill>
          <bgColor indexed="53"/>
        </patternFill>
      </fill>
    </dxf>
    <dxf>
      <font>
        <color rgb="FFFF0000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53"/>
        </patternFill>
      </fill>
    </dxf>
    <dxf>
      <font>
        <color auto="1"/>
      </font>
      <fill>
        <patternFill>
          <bgColor indexed="53"/>
        </patternFill>
      </fill>
    </dxf>
    <dxf>
      <font>
        <b/>
        <i val="0"/>
      </font>
      <fill>
        <patternFill patternType="solid">
          <bgColor indexed="13"/>
        </patternFill>
      </fill>
      <border>
        <left style="thin"/>
        <right style="thin"/>
        <top style="thin"/>
        <bottom style="thin"/>
      </border>
    </dxf>
    <dxf>
      <font>
        <color rgb="FFFF0000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auto="1"/>
      </font>
      <fill>
        <patternFill>
          <bgColor indexed="53"/>
        </patternFill>
      </fill>
    </dxf>
    <dxf>
      <fill>
        <patternFill>
          <bgColor indexed="45"/>
        </patternFill>
      </fill>
    </dxf>
    <dxf>
      <fill>
        <patternFill>
          <bgColor indexed="53"/>
        </patternFill>
      </fill>
    </dxf>
    <dxf>
      <font>
        <color auto="1"/>
      </font>
      <fill>
        <patternFill>
          <bgColor indexed="53"/>
        </patternFill>
      </fill>
    </dxf>
    <dxf>
      <font>
        <color rgb="FFFF0000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53"/>
        </patternFill>
      </fill>
    </dxf>
    <dxf>
      <font>
        <color auto="1"/>
      </font>
      <fill>
        <patternFill>
          <bgColor indexed="53"/>
        </patternFill>
      </fill>
    </dxf>
    <dxf>
      <font>
        <b/>
        <i val="0"/>
      </font>
      <fill>
        <patternFill patternType="solid">
          <bgColor indexed="13"/>
        </patternFill>
      </fill>
      <border>
        <left style="thin"/>
        <right style="thin"/>
        <top style="thin"/>
        <bottom style="thin"/>
      </border>
    </dxf>
    <dxf>
      <font>
        <color rgb="FFFF0000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auto="1"/>
      </font>
      <fill>
        <patternFill>
          <bgColor indexed="53"/>
        </patternFill>
      </fill>
    </dxf>
    <dxf>
      <fill>
        <patternFill>
          <bgColor indexed="45"/>
        </patternFill>
      </fill>
    </dxf>
    <dxf>
      <fill>
        <patternFill>
          <bgColor indexed="53"/>
        </patternFill>
      </fill>
    </dxf>
    <dxf>
      <font>
        <color auto="1"/>
      </font>
      <fill>
        <patternFill>
          <bgColor indexed="53"/>
        </patternFill>
      </fill>
    </dxf>
    <dxf>
      <font>
        <color auto="1"/>
      </font>
      <fill>
        <patternFill>
          <bgColor indexed="53"/>
        </patternFill>
      </fill>
    </dxf>
    <dxf>
      <font>
        <b/>
        <i val="0"/>
      </font>
      <fill>
        <patternFill patternType="solid">
          <bgColor indexed="13"/>
        </patternFill>
      </fill>
      <border>
        <left style="thin"/>
        <right style="thin"/>
        <top style="thin"/>
        <bottom style="thin"/>
      </border>
    </dxf>
    <dxf>
      <font>
        <color rgb="FFFF0000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auto="1"/>
      </font>
      <fill>
        <patternFill>
          <bgColor indexed="53"/>
        </patternFill>
      </fill>
    </dxf>
    <dxf>
      <fill>
        <patternFill>
          <bgColor indexed="45"/>
        </patternFill>
      </fill>
    </dxf>
    <dxf>
      <fill>
        <patternFill>
          <bgColor indexed="53"/>
        </patternFill>
      </fill>
    </dxf>
    <dxf>
      <font>
        <color auto="1"/>
      </font>
      <fill>
        <patternFill>
          <bgColor indexed="53"/>
        </patternFill>
      </fill>
    </dxf>
    <dxf>
      <font>
        <color rgb="FFFF0000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rgb="FFFF0000"/>
      </font>
    </dxf>
    <dxf>
      <fill>
        <patternFill>
          <bgColor indexed="45"/>
        </patternFill>
      </fill>
    </dxf>
    <dxf>
      <fill>
        <patternFill>
          <bgColor indexed="53"/>
        </patternFill>
      </fill>
    </dxf>
    <dxf>
      <font>
        <color auto="1"/>
      </font>
      <fill>
        <patternFill>
          <bgColor indexed="53"/>
        </patternFill>
      </fill>
    </dxf>
    <dxf>
      <font>
        <color auto="1"/>
      </font>
      <fill>
        <patternFill>
          <bgColor indexed="53"/>
        </patternFill>
      </fill>
    </dxf>
    <dxf>
      <font>
        <b/>
        <i val="0"/>
      </font>
      <fill>
        <patternFill patternType="solid"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 patternType="solid"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 patternType="solid"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 patternType="solid"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 patternType="solid"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 patternType="solid"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 patternType="solid"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 patternType="solid"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 patternType="solid"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 patternType="solid"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 patternType="solid">
          <bgColor indexed="13"/>
        </patternFill>
      </fill>
      <border>
        <left style="thin"/>
        <right style="thin"/>
        <top style="thin"/>
        <bottom style="thin"/>
      </border>
    </dxf>
    <dxf>
      <font>
        <color rgb="FFFF0000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rgb="FFFF0000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rgb="FFFF0000"/>
      </font>
    </dxf>
    <dxf>
      <fill>
        <patternFill>
          <bgColor indexed="45"/>
        </patternFill>
      </fill>
    </dxf>
    <dxf>
      <fill>
        <patternFill>
          <bgColor indexed="53"/>
        </patternFill>
      </fill>
    </dxf>
    <dxf>
      <font>
        <color auto="1"/>
      </font>
      <fill>
        <patternFill>
          <bgColor indexed="53"/>
        </patternFill>
      </fill>
    </dxf>
    <dxf>
      <font>
        <color auto="1"/>
      </font>
      <fill>
        <patternFill>
          <bgColor indexed="53"/>
        </patternFill>
      </fill>
    </dxf>
    <dxf>
      <font>
        <color auto="1"/>
      </font>
      <fill>
        <patternFill>
          <bgColor indexed="53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rgb="FFFF0000"/>
      </font>
    </dxf>
    <dxf>
      <fill>
        <patternFill>
          <bgColor indexed="45"/>
        </patternFill>
      </fill>
    </dxf>
    <dxf>
      <fill>
        <patternFill>
          <bgColor indexed="53"/>
        </patternFill>
      </fill>
    </dxf>
    <dxf>
      <font>
        <color auto="1"/>
      </font>
      <fill>
        <patternFill>
          <bgColor indexed="53"/>
        </patternFill>
      </fill>
    </dxf>
    <dxf>
      <font>
        <color auto="1"/>
      </font>
      <fill>
        <patternFill>
          <bgColor indexed="53"/>
        </patternFill>
      </fill>
    </dxf>
    <dxf>
      <font>
        <color rgb="FFFF0000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auto="1"/>
      </font>
      <fill>
        <patternFill>
          <bgColor indexed="53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rgb="FFFF0000"/>
      </font>
    </dxf>
    <dxf>
      <font>
        <b/>
        <i val="0"/>
      </font>
      <fill>
        <patternFill patternType="solid">
          <bgColor indexed="13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indexed="53"/>
        </patternFill>
      </fill>
    </dxf>
    <dxf>
      <font>
        <b/>
        <i val="0"/>
      </font>
      <fill>
        <patternFill patternType="solid">
          <bgColor indexed="13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indexed="53"/>
        </patternFill>
      </fill>
    </dxf>
    <dxf>
      <font>
        <b/>
        <i val="0"/>
      </font>
      <fill>
        <patternFill patternType="solid">
          <bgColor indexed="13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indexed="53"/>
        </patternFill>
      </fill>
    </dxf>
    <dxf>
      <font>
        <b/>
        <i val="0"/>
      </font>
      <fill>
        <patternFill patternType="solid">
          <bgColor indexed="13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indexed="53"/>
        </patternFill>
      </fill>
    </dxf>
    <dxf>
      <font>
        <color auto="1"/>
      </font>
      <fill>
        <patternFill>
          <bgColor indexed="53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rgb="FFFF0000"/>
      </font>
    </dxf>
    <dxf>
      <fill>
        <patternFill>
          <bgColor indexed="45"/>
        </patternFill>
      </fill>
    </dxf>
    <dxf>
      <fill>
        <patternFill>
          <bgColor indexed="53"/>
        </patternFill>
      </fill>
    </dxf>
    <dxf>
      <font>
        <color auto="1"/>
      </font>
      <fill>
        <patternFill>
          <bgColor indexed="53"/>
        </patternFill>
      </fill>
    </dxf>
    <dxf>
      <font>
        <color auto="1"/>
      </font>
      <fill>
        <patternFill>
          <bgColor indexed="53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rgb="FFFF0000"/>
      </font>
    </dxf>
    <dxf>
      <font>
        <color auto="1"/>
      </font>
      <fill>
        <patternFill>
          <bgColor indexed="53"/>
        </patternFill>
      </fill>
    </dxf>
    <dxf>
      <fill>
        <patternFill>
          <bgColor indexed="45"/>
        </patternFill>
      </fill>
    </dxf>
    <dxf>
      <fill>
        <patternFill>
          <bgColor indexed="53"/>
        </patternFill>
      </fill>
    </dxf>
    <dxf>
      <font>
        <color auto="1"/>
      </font>
      <fill>
        <patternFill>
          <bgColor indexed="53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rgb="FFFF0000"/>
      </font>
    </dxf>
    <dxf>
      <font>
        <color auto="1"/>
      </font>
      <fill>
        <patternFill>
          <bgColor indexed="53"/>
        </patternFill>
      </fill>
    </dxf>
    <dxf>
      <fill>
        <patternFill>
          <bgColor indexed="45"/>
        </patternFill>
      </fill>
    </dxf>
    <dxf>
      <fill>
        <patternFill>
          <bgColor indexed="53"/>
        </patternFill>
      </fill>
    </dxf>
    <dxf>
      <font>
        <color auto="1"/>
      </font>
      <fill>
        <patternFill>
          <bgColor indexed="53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rgb="FFFF0000"/>
      </font>
    </dxf>
    <dxf>
      <font>
        <color auto="1"/>
      </font>
      <fill>
        <patternFill>
          <bgColor indexed="53"/>
        </patternFill>
      </fill>
    </dxf>
    <dxf>
      <font>
        <b/>
        <i val="0"/>
      </font>
      <fill>
        <patternFill patternType="solid">
          <bgColor indexed="13"/>
        </patternFill>
      </fill>
      <border>
        <left style="thin"/>
        <right style="thin"/>
        <top style="thin"/>
        <bottom style="thin"/>
      </border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rgb="FFFF0000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ont>
        <color rgb="FFFF0000"/>
      </font>
    </dxf>
    <dxf>
      <font>
        <b/>
        <i val="0"/>
      </font>
      <fill>
        <patternFill patternType="solid">
          <bgColor indexed="13"/>
        </patternFill>
      </fill>
      <border>
        <left style="thin"/>
        <right style="thin"/>
        <top style="thin"/>
        <bottom style="thin"/>
      </border>
    </dxf>
    <dxf>
      <font>
        <color rgb="FFFF0000"/>
      </font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53"/>
        </patternFill>
      </fill>
    </dxf>
    <dxf>
      <font>
        <color auto="1"/>
      </font>
      <fill>
        <patternFill>
          <bgColor indexed="53"/>
        </patternFill>
      </fill>
    </dxf>
    <dxf>
      <font>
        <color auto="1"/>
      </font>
      <fill>
        <patternFill>
          <bgColor indexed="53"/>
        </patternFill>
      </fill>
    </dxf>
    <dxf>
      <font>
        <color indexed="53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color indexed="10"/>
      </font>
    </dxf>
    <dxf>
      <font>
        <color indexed="17"/>
      </font>
    </dxf>
    <dxf>
      <font>
        <b/>
        <i val="0"/>
      </font>
      <fill>
        <patternFill patternType="solid"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2"/>
          <c:y val="0.08975"/>
          <c:w val="0.497"/>
          <c:h val="0.81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LMIC!$L$56:$L$61</c:f>
              <c:strCache/>
            </c:strRef>
          </c:cat>
          <c:val>
            <c:numRef>
              <c:f>LMIC!$M$56:$M$61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"/>
          <c:y val="0.08575"/>
          <c:w val="0.14875"/>
          <c:h val="0.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5"/>
          <c:y val="0.087"/>
          <c:w val="0.4865"/>
          <c:h val="0.81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LMIC!$G$57:$G$69</c:f>
              <c:strCache/>
            </c:strRef>
          </c:cat>
          <c:val>
            <c:numRef>
              <c:f>LMIC!$H$57:$H$69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5"/>
          <c:y val="0.1845"/>
          <c:w val="0.1895"/>
          <c:h val="0.6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55</xdr:row>
      <xdr:rowOff>28575</xdr:rowOff>
    </xdr:from>
    <xdr:to>
      <xdr:col>18</xdr:col>
      <xdr:colOff>1133475</xdr:colOff>
      <xdr:row>79</xdr:row>
      <xdr:rowOff>9525</xdr:rowOff>
    </xdr:to>
    <xdr:graphicFrame>
      <xdr:nvGraphicFramePr>
        <xdr:cNvPr id="1" name="Chart 2"/>
        <xdr:cNvGraphicFramePr/>
      </xdr:nvGraphicFramePr>
      <xdr:xfrm>
        <a:off x="6438900" y="9486900"/>
        <a:ext cx="59150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55</xdr:row>
      <xdr:rowOff>28575</xdr:rowOff>
    </xdr:from>
    <xdr:to>
      <xdr:col>10</xdr:col>
      <xdr:colOff>466725</xdr:colOff>
      <xdr:row>79</xdr:row>
      <xdr:rowOff>19050</xdr:rowOff>
    </xdr:to>
    <xdr:graphicFrame>
      <xdr:nvGraphicFramePr>
        <xdr:cNvPr id="2" name="Chart 3"/>
        <xdr:cNvGraphicFramePr/>
      </xdr:nvGraphicFramePr>
      <xdr:xfrm>
        <a:off x="76200" y="9486900"/>
        <a:ext cx="606742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57"/>
  </sheetPr>
  <dimension ref="A1:AA92"/>
  <sheetViews>
    <sheetView tabSelected="1" zoomScalePageLayoutView="0" workbookViewId="0" topLeftCell="A1">
      <pane xSplit="4" ySplit="2" topLeftCell="E27" activePane="bottomRight" state="frozen"/>
      <selection pane="topLeft" activeCell="A1" sqref="A1"/>
      <selection pane="topRight" activeCell="E1" sqref="E1"/>
      <selection pane="bottomLeft" activeCell="A3" sqref="A3"/>
      <selection pane="bottomRight" activeCell="G40" sqref="G40"/>
    </sheetView>
  </sheetViews>
  <sheetFormatPr defaultColWidth="9.140625" defaultRowHeight="12.75"/>
  <cols>
    <col min="1" max="1" width="4.7109375" style="8" customWidth="1"/>
    <col min="2" max="2" width="12.140625" style="58" customWidth="1"/>
    <col min="3" max="3" width="9.00390625" style="9" customWidth="1"/>
    <col min="4" max="4" width="11.140625" style="132" customWidth="1"/>
    <col min="5" max="5" width="0.9921875" style="136" customWidth="1"/>
    <col min="6" max="6" width="7.57421875" style="10" customWidth="1"/>
    <col min="7" max="7" width="11.8515625" style="110" customWidth="1"/>
    <col min="8" max="8" width="11.00390625" style="58" customWidth="1"/>
    <col min="9" max="9" width="8.421875" style="11" customWidth="1"/>
    <col min="10" max="10" width="8.28125" style="12" customWidth="1"/>
    <col min="11" max="11" width="11.00390625" style="58" bestFit="1" customWidth="1"/>
    <col min="12" max="12" width="11.8515625" style="8" customWidth="1"/>
    <col min="13" max="13" width="10.7109375" style="8" customWidth="1"/>
    <col min="14" max="14" width="9.421875" style="9" customWidth="1"/>
    <col min="15" max="15" width="10.140625" style="9" customWidth="1"/>
    <col min="16" max="16" width="9.57421875" style="67" customWidth="1"/>
    <col min="17" max="17" width="8.7109375" style="10" customWidth="1"/>
    <col min="18" max="18" width="11.7109375" style="116" bestFit="1" customWidth="1"/>
    <col min="19" max="19" width="17.28125" style="8" customWidth="1"/>
    <col min="20" max="22" width="9.140625" style="8" customWidth="1"/>
    <col min="23" max="23" width="9.421875" style="8" bestFit="1" customWidth="1"/>
    <col min="24" max="16384" width="9.140625" style="8" customWidth="1"/>
  </cols>
  <sheetData>
    <row r="1" spans="1:22" ht="14.25">
      <c r="A1" s="7" t="s">
        <v>7</v>
      </c>
      <c r="G1" s="109"/>
      <c r="I1" s="86" t="s">
        <v>37</v>
      </c>
      <c r="L1" s="13"/>
      <c r="M1" s="14"/>
      <c r="O1" s="69" t="s">
        <v>32</v>
      </c>
      <c r="P1" s="143" t="s">
        <v>41</v>
      </c>
      <c r="R1" s="117" t="s">
        <v>93</v>
      </c>
      <c r="T1" s="144">
        <v>42935</v>
      </c>
      <c r="U1" s="144">
        <v>42963</v>
      </c>
      <c r="V1" s="144">
        <v>42998</v>
      </c>
    </row>
    <row r="2" spans="1:22" s="24" customFormat="1" ht="12.75" thickBot="1">
      <c r="A2" s="16" t="s">
        <v>8</v>
      </c>
      <c r="B2" s="59"/>
      <c r="C2" s="17"/>
      <c r="D2" s="17" t="s">
        <v>30</v>
      </c>
      <c r="E2" s="17"/>
      <c r="F2" s="17" t="s">
        <v>9</v>
      </c>
      <c r="G2" s="107" t="s">
        <v>10</v>
      </c>
      <c r="H2" s="102" t="s">
        <v>11</v>
      </c>
      <c r="I2" s="85" t="s">
        <v>38</v>
      </c>
      <c r="J2" s="19" t="s">
        <v>13</v>
      </c>
      <c r="K2" s="61" t="s">
        <v>14</v>
      </c>
      <c r="L2" s="20" t="s">
        <v>15</v>
      </c>
      <c r="M2" s="21" t="s">
        <v>16</v>
      </c>
      <c r="N2" s="22" t="s">
        <v>17</v>
      </c>
      <c r="O2" s="23" t="s">
        <v>29</v>
      </c>
      <c r="P2" s="112" t="s">
        <v>29</v>
      </c>
      <c r="Q2" s="18" t="s">
        <v>64</v>
      </c>
      <c r="R2" s="18" t="s">
        <v>92</v>
      </c>
      <c r="T2" s="116" t="s">
        <v>99</v>
      </c>
      <c r="U2" s="116" t="s">
        <v>99</v>
      </c>
      <c r="V2" s="116" t="s">
        <v>99</v>
      </c>
    </row>
    <row r="3" spans="1:15" ht="14.25">
      <c r="A3" s="25" t="s">
        <v>35</v>
      </c>
      <c r="B3" s="60"/>
      <c r="C3" s="26"/>
      <c r="D3" s="133"/>
      <c r="E3" s="139"/>
      <c r="H3" s="62"/>
      <c r="I3" s="30"/>
      <c r="J3" s="44"/>
      <c r="K3" s="62"/>
      <c r="L3" s="32"/>
      <c r="M3" s="33"/>
      <c r="N3" s="33"/>
      <c r="O3" s="98"/>
    </row>
    <row r="4" spans="2:15" ht="12.75">
      <c r="B4" s="87">
        <f>SUM(K3:K5)</f>
        <v>0</v>
      </c>
      <c r="C4" s="88">
        <f>B4/ValueAmount</f>
        <v>0</v>
      </c>
      <c r="D4" s="134">
        <f>(0.3-C4)*ValueAmount</f>
        <v>13255.603524220498</v>
      </c>
      <c r="H4" s="62"/>
      <c r="I4" s="30"/>
      <c r="J4" s="44"/>
      <c r="K4" s="62"/>
      <c r="L4" s="32"/>
      <c r="M4" s="33"/>
      <c r="N4" s="33"/>
      <c r="O4" s="98"/>
    </row>
    <row r="5" spans="1:15" ht="14.25">
      <c r="A5" s="25" t="s">
        <v>72</v>
      </c>
      <c r="B5" s="60"/>
      <c r="C5" s="26"/>
      <c r="D5" s="133"/>
      <c r="E5" s="139"/>
      <c r="H5" s="62"/>
      <c r="I5" s="30"/>
      <c r="J5" s="44"/>
      <c r="K5" s="62"/>
      <c r="L5" s="32"/>
      <c r="M5" s="33"/>
      <c r="N5" s="33"/>
      <c r="O5" s="98"/>
    </row>
    <row r="6" spans="2:18" ht="12.75">
      <c r="B6" s="87">
        <f>SUM(K5:K7)</f>
        <v>0</v>
      </c>
      <c r="C6" s="88">
        <f>B6/ValueAmount</f>
        <v>0</v>
      </c>
      <c r="D6" s="134">
        <f>(0.3-C6)*ValueAmount</f>
        <v>13255.603524220498</v>
      </c>
      <c r="R6" s="142"/>
    </row>
    <row r="7" spans="1:18" ht="14.25">
      <c r="A7" s="25" t="s">
        <v>33</v>
      </c>
      <c r="B7" s="60"/>
      <c r="C7" s="26"/>
      <c r="D7" s="133"/>
      <c r="E7" s="139"/>
      <c r="R7" s="142"/>
    </row>
    <row r="8" spans="1:22" s="91" customFormat="1" ht="12.75">
      <c r="A8" s="83"/>
      <c r="B8" s="87">
        <f>SUM(K7:K17)</f>
        <v>13822.392699349999</v>
      </c>
      <c r="C8" s="88">
        <f>B8/ValueAmount</f>
        <v>0.3128275375940568</v>
      </c>
      <c r="D8" s="134">
        <f>(0.3-C8)*ValueAmount</f>
        <v>-566.789175129501</v>
      </c>
      <c r="E8" s="140"/>
      <c r="F8" s="89" t="s">
        <v>57</v>
      </c>
      <c r="G8" s="111">
        <f>GNTX!D7</f>
        <v>147.99819</v>
      </c>
      <c r="H8" s="94">
        <f>GNTX!E8</f>
        <v>2550.8399999999997</v>
      </c>
      <c r="I8" s="92">
        <f>GNTX!F7</f>
        <v>17.23561619233316</v>
      </c>
      <c r="J8" s="93">
        <f>GNTX!G7</f>
        <v>19.77</v>
      </c>
      <c r="K8" s="94">
        <f>GNTX!H7</f>
        <v>2925.9242163</v>
      </c>
      <c r="L8" s="96">
        <f>GNTX!I7</f>
        <v>375.0842163000002</v>
      </c>
      <c r="M8" s="99">
        <f>GNTX!J7</f>
        <v>0.1470434116996755</v>
      </c>
      <c r="N8" s="47">
        <f>K8/K$49</f>
        <v>0.06621933609330836</v>
      </c>
      <c r="O8" s="98">
        <f>GNTX!K7</f>
        <v>0.05270446240901948</v>
      </c>
      <c r="P8" s="90">
        <f>N8*O8</f>
        <v>0.0034900545098799974</v>
      </c>
      <c r="Q8" s="124" t="s">
        <v>67</v>
      </c>
      <c r="R8" s="142" t="s">
        <v>86</v>
      </c>
      <c r="S8" s="87"/>
      <c r="T8" s="141">
        <v>18.5</v>
      </c>
      <c r="U8" s="91">
        <v>17.1</v>
      </c>
      <c r="V8" s="91">
        <v>19.41</v>
      </c>
    </row>
    <row r="9" spans="1:25" s="91" customFormat="1" ht="12.75">
      <c r="A9" s="83"/>
      <c r="B9" s="87"/>
      <c r="C9" s="88"/>
      <c r="D9" s="134"/>
      <c r="E9" s="140"/>
      <c r="F9" s="89"/>
      <c r="G9" s="111"/>
      <c r="H9" s="94"/>
      <c r="I9" s="92"/>
      <c r="J9" s="93"/>
      <c r="K9" s="94"/>
      <c r="L9" s="96"/>
      <c r="M9" s="99"/>
      <c r="N9" s="39"/>
      <c r="O9" s="98"/>
      <c r="P9" s="90"/>
      <c r="Q9" s="124"/>
      <c r="R9" s="142"/>
      <c r="S9" s="83"/>
      <c r="U9" s="83"/>
      <c r="Y9" s="8"/>
    </row>
    <row r="10" spans="1:22" s="91" customFormat="1" ht="12.75">
      <c r="A10" s="83"/>
      <c r="D10" s="135"/>
      <c r="E10" s="140"/>
      <c r="F10" s="89" t="s">
        <v>58</v>
      </c>
      <c r="G10" s="111">
        <f>LKQ!D4</f>
        <v>85.92507</v>
      </c>
      <c r="H10" s="94">
        <f>LKQ!E5</f>
        <v>2100</v>
      </c>
      <c r="I10" s="92">
        <f>LKQ!F4</f>
        <v>24.439898623300508</v>
      </c>
      <c r="J10" s="93">
        <f>LKQ!G4</f>
        <v>35.605</v>
      </c>
      <c r="K10" s="94">
        <f>LKQ!H4</f>
        <v>3059.36211735</v>
      </c>
      <c r="L10" s="96">
        <f>LKQ!I4</f>
        <v>959.3621173500001</v>
      </c>
      <c r="M10" s="99">
        <f>LKQ!J4</f>
        <v>0.4568391035</v>
      </c>
      <c r="N10" s="47">
        <f>K10/K$49</f>
        <v>0.06923929442578679</v>
      </c>
      <c r="O10" s="98">
        <f>LKQ!K4</f>
        <v>0.1600623428821564</v>
      </c>
      <c r="P10" s="90">
        <f>N10*O10</f>
        <v>0.011082603685298864</v>
      </c>
      <c r="Q10" s="124" t="s">
        <v>65</v>
      </c>
      <c r="R10" s="142" t="s">
        <v>88</v>
      </c>
      <c r="S10" s="83"/>
      <c r="T10" s="91">
        <v>33.32</v>
      </c>
      <c r="U10" s="91">
        <v>34.03</v>
      </c>
      <c r="V10" s="91">
        <v>35.14</v>
      </c>
    </row>
    <row r="11" spans="1:20" ht="14.25">
      <c r="A11" s="25"/>
      <c r="B11" s="60"/>
      <c r="C11" s="26"/>
      <c r="D11" s="133"/>
      <c r="E11" s="139"/>
      <c r="H11" s="62"/>
      <c r="I11" s="30"/>
      <c r="J11" s="44"/>
      <c r="K11" s="62"/>
      <c r="L11" s="32"/>
      <c r="M11" s="33"/>
      <c r="N11" s="33"/>
      <c r="O11" s="98"/>
      <c r="R11" s="142"/>
      <c r="T11" s="114"/>
    </row>
    <row r="12" spans="1:25" s="91" customFormat="1" ht="12.75">
      <c r="A12" s="83"/>
      <c r="B12" s="87"/>
      <c r="C12" s="88"/>
      <c r="D12" s="134"/>
      <c r="E12" s="140"/>
      <c r="F12" s="89" t="s">
        <v>74</v>
      </c>
      <c r="G12" s="111">
        <f>LAD!D7</f>
        <v>37.36193</v>
      </c>
      <c r="H12" s="87">
        <f>LAD!E8</f>
        <v>3114.4900000000002</v>
      </c>
      <c r="I12" s="92">
        <f>LAD!F7</f>
        <v>83.35998702422494</v>
      </c>
      <c r="J12" s="93">
        <f>LAD!G7</f>
        <v>117.67</v>
      </c>
      <c r="K12" s="94">
        <f>LAD!H7</f>
        <v>4396.3783031</v>
      </c>
      <c r="L12" s="96">
        <f>LAD!I7</f>
        <v>1281.8883031</v>
      </c>
      <c r="M12" s="95">
        <f>LAD!J7</f>
        <v>0.4115885114737886</v>
      </c>
      <c r="N12" s="47">
        <f>K12/K$49</f>
        <v>0.09949856213789854</v>
      </c>
      <c r="O12" s="98">
        <f>LAD!K7</f>
        <v>0.2917396366596222</v>
      </c>
      <c r="P12" s="90">
        <f>N12*O12</f>
        <v>0.02902767436626536</v>
      </c>
      <c r="Q12" s="124" t="s">
        <v>65</v>
      </c>
      <c r="R12" s="142" t="s">
        <v>91</v>
      </c>
      <c r="S12" s="83"/>
      <c r="T12" s="83">
        <v>99.56</v>
      </c>
      <c r="U12" s="8">
        <v>103.32</v>
      </c>
      <c r="V12" s="83">
        <v>113.09</v>
      </c>
      <c r="W12" s="83"/>
      <c r="Y12" s="8"/>
    </row>
    <row r="13" spans="1:20" ht="14.25">
      <c r="A13" s="25"/>
      <c r="B13" s="60"/>
      <c r="C13" s="26"/>
      <c r="D13" s="133"/>
      <c r="E13" s="139"/>
      <c r="H13" s="62"/>
      <c r="I13" s="30"/>
      <c r="J13" s="44"/>
      <c r="K13" s="62"/>
      <c r="L13" s="32"/>
      <c r="M13" s="33"/>
      <c r="N13" s="33"/>
      <c r="O13" s="98"/>
      <c r="R13" s="142"/>
      <c r="T13" s="114"/>
    </row>
    <row r="14" spans="1:25" s="91" customFormat="1" ht="12.75">
      <c r="A14" s="83"/>
      <c r="B14" s="87"/>
      <c r="C14" s="88"/>
      <c r="D14" s="134"/>
      <c r="E14" s="140"/>
      <c r="F14" s="89" t="s">
        <v>95</v>
      </c>
      <c r="G14" s="111">
        <f>SBUX!D5</f>
        <v>32.22938</v>
      </c>
      <c r="H14" s="87">
        <f>SBUX!E6</f>
        <v>1862.55</v>
      </c>
      <c r="I14" s="92">
        <f>SBUX!F5</f>
        <v>57.790438413646186</v>
      </c>
      <c r="J14" s="93">
        <f>SBUX!G5</f>
        <v>54.69</v>
      </c>
      <c r="K14" s="94">
        <f>SBUX!H5</f>
        <v>1762.6247921999998</v>
      </c>
      <c r="L14" s="96">
        <f>SBUX!I5</f>
        <v>-99.92520780000018</v>
      </c>
      <c r="M14" s="95">
        <f>SBUX!J5</f>
        <v>-0.05364967802206662</v>
      </c>
      <c r="N14" s="47">
        <f>K14/K$49</f>
        <v>0.03989161539825819</v>
      </c>
      <c r="O14" s="98">
        <f>SBUX!K5</f>
        <v>-0.10734732486307622</v>
      </c>
      <c r="P14" s="90">
        <f>N14*O14</f>
        <v>-0.004282258197469716</v>
      </c>
      <c r="Q14" s="124" t="s">
        <v>68</v>
      </c>
      <c r="R14" s="142" t="s">
        <v>96</v>
      </c>
      <c r="S14" s="83"/>
      <c r="T14" s="83">
        <v>58.2</v>
      </c>
      <c r="U14" s="8">
        <v>52.75</v>
      </c>
      <c r="V14" s="83">
        <v>54.97</v>
      </c>
      <c r="W14" s="83"/>
      <c r="Y14" s="8"/>
    </row>
    <row r="15" spans="1:20" ht="14.25">
      <c r="A15" s="25"/>
      <c r="B15" s="60"/>
      <c r="C15" s="26"/>
      <c r="D15" s="133"/>
      <c r="E15" s="139"/>
      <c r="H15" s="62"/>
      <c r="I15" s="30"/>
      <c r="J15" s="44"/>
      <c r="K15" s="62"/>
      <c r="L15" s="32"/>
      <c r="M15" s="33"/>
      <c r="N15" s="33"/>
      <c r="O15" s="98"/>
      <c r="R15" s="142"/>
      <c r="T15" s="114"/>
    </row>
    <row r="16" spans="1:25" s="91" customFormat="1" ht="12.75">
      <c r="A16" s="83"/>
      <c r="B16" s="87"/>
      <c r="C16" s="88"/>
      <c r="D16" s="134"/>
      <c r="E16" s="140"/>
      <c r="F16" s="89" t="s">
        <v>98</v>
      </c>
      <c r="G16" s="111">
        <f>TSCO!D5</f>
        <v>26.585919999999998</v>
      </c>
      <c r="H16" s="87">
        <f>TSCO!E6</f>
        <v>1650</v>
      </c>
      <c r="I16" s="92">
        <f>TSCO!F5</f>
        <v>62.06292654156787</v>
      </c>
      <c r="J16" s="93">
        <f>TSCO!G5</f>
        <v>63.12</v>
      </c>
      <c r="K16" s="94">
        <f>TSCO!H5</f>
        <v>1678.1032703999997</v>
      </c>
      <c r="L16" s="96">
        <f>TSCO!I5</f>
        <v>28.1032703999997</v>
      </c>
      <c r="M16" s="95">
        <f>TSCO!J5</f>
        <v>0.01703228509090891</v>
      </c>
      <c r="N16" s="47">
        <f>K16/K$49</f>
        <v>0.03797872953880494</v>
      </c>
      <c r="O16" s="98">
        <f>TSCO!K5</f>
        <v>0.09378324449062346</v>
      </c>
      <c r="P16" s="90">
        <f>N16*O16</f>
        <v>0.003561768477781007</v>
      </c>
      <c r="Q16" s="124" t="s">
        <v>65</v>
      </c>
      <c r="R16" s="142" t="s">
        <v>90</v>
      </c>
      <c r="S16" s="83"/>
      <c r="T16" s="83">
        <v>51.96</v>
      </c>
      <c r="U16" s="8">
        <v>54.35</v>
      </c>
      <c r="V16" s="83">
        <v>60.82</v>
      </c>
      <c r="W16" s="83"/>
      <c r="Y16" s="8"/>
    </row>
    <row r="17" spans="1:18" ht="14.25">
      <c r="A17" s="25" t="s">
        <v>83</v>
      </c>
      <c r="B17" s="60"/>
      <c r="C17" s="26"/>
      <c r="D17" s="133"/>
      <c r="E17" s="139"/>
      <c r="H17" s="62"/>
      <c r="I17" s="30"/>
      <c r="J17" s="44"/>
      <c r="K17" s="62"/>
      <c r="L17" s="32"/>
      <c r="M17" s="33"/>
      <c r="N17" s="33"/>
      <c r="O17" s="98"/>
      <c r="R17" s="142"/>
    </row>
    <row r="18" spans="2:20" ht="12.75">
      <c r="B18" s="87">
        <f>SUM(K17:K19)</f>
        <v>0</v>
      </c>
      <c r="C18" s="88">
        <f>B18/ValueAmount</f>
        <v>0</v>
      </c>
      <c r="D18" s="134">
        <f>(0.3-C18)*ValueAmount</f>
        <v>13255.603524220498</v>
      </c>
      <c r="F18" s="89"/>
      <c r="G18" s="111"/>
      <c r="H18" s="94"/>
      <c r="I18" s="92"/>
      <c r="J18" s="93"/>
      <c r="K18" s="94"/>
      <c r="L18" s="96"/>
      <c r="M18" s="99"/>
      <c r="N18" s="33"/>
      <c r="O18" s="98"/>
      <c r="P18" s="90"/>
      <c r="Q18" s="124"/>
      <c r="R18" s="142"/>
      <c r="S18" s="58"/>
      <c r="T18" s="58"/>
    </row>
    <row r="19" spans="1:18" ht="14.25">
      <c r="A19" s="25" t="s">
        <v>31</v>
      </c>
      <c r="B19" s="60"/>
      <c r="C19" s="26"/>
      <c r="D19" s="133"/>
      <c r="E19" s="139"/>
      <c r="H19" s="62"/>
      <c r="I19" s="30"/>
      <c r="J19" s="44"/>
      <c r="K19" s="62"/>
      <c r="L19" s="32"/>
      <c r="M19" s="33"/>
      <c r="N19" s="8"/>
      <c r="O19" s="98"/>
      <c r="R19" s="142"/>
    </row>
    <row r="20" spans="2:20" ht="15">
      <c r="B20" s="87">
        <f>SUM(K19:K21)</f>
        <v>0</v>
      </c>
      <c r="C20" s="88">
        <f>B20/ValueAmount</f>
        <v>0</v>
      </c>
      <c r="D20" s="134">
        <f>(0.3-C20)*ValueAmount</f>
        <v>13255.603524220498</v>
      </c>
      <c r="F20" s="89"/>
      <c r="G20" s="111"/>
      <c r="H20" s="94"/>
      <c r="I20" s="92"/>
      <c r="J20" s="93"/>
      <c r="K20" s="94"/>
      <c r="L20" s="96"/>
      <c r="M20" s="99"/>
      <c r="N20" s="33"/>
      <c r="O20" s="98"/>
      <c r="P20" s="90"/>
      <c r="Q20" s="124"/>
      <c r="R20" s="142"/>
      <c r="T20" s="125"/>
    </row>
    <row r="21" spans="1:19" ht="14.25">
      <c r="A21" s="25" t="s">
        <v>84</v>
      </c>
      <c r="B21" s="60"/>
      <c r="C21" s="26"/>
      <c r="D21" s="133"/>
      <c r="E21" s="139"/>
      <c r="H21" s="62"/>
      <c r="I21" s="30"/>
      <c r="J21" s="44"/>
      <c r="K21" s="62"/>
      <c r="L21" s="32"/>
      <c r="M21" s="33"/>
      <c r="N21" s="33"/>
      <c r="O21" s="98"/>
      <c r="R21" s="142"/>
      <c r="S21" s="58"/>
    </row>
    <row r="22" spans="1:25" s="91" customFormat="1" ht="12.75">
      <c r="A22" s="83"/>
      <c r="B22" s="87">
        <f>SUM(K21:K29)</f>
        <v>13851.919853099998</v>
      </c>
      <c r="C22" s="88">
        <f>B22/ValueAmount</f>
        <v>0.3134957943134747</v>
      </c>
      <c r="D22" s="134">
        <f>(0.3-C22)*ValueAmount</f>
        <v>-596.3163288795005</v>
      </c>
      <c r="E22" s="140"/>
      <c r="F22" s="89" t="s">
        <v>78</v>
      </c>
      <c r="G22" s="111">
        <f>BOFI!D8</f>
        <v>203.84649</v>
      </c>
      <c r="H22" s="94">
        <f>BOFI!E9</f>
        <v>3985.61</v>
      </c>
      <c r="I22" s="92">
        <f>BOFI!F8</f>
        <v>19.552016814221332</v>
      </c>
      <c r="J22" s="93">
        <f>BOFI!G8</f>
        <v>28.23</v>
      </c>
      <c r="K22" s="94">
        <f>BOFI!H8</f>
        <v>5754.5864126999995</v>
      </c>
      <c r="L22" s="96">
        <f>BOFI!I8</f>
        <v>1768.9764126999994</v>
      </c>
      <c r="M22" s="99">
        <f>BOFI!J8</f>
        <v>0.44384082052684515</v>
      </c>
      <c r="N22" s="47">
        <f>K22/K$49</f>
        <v>0.1302374441613001</v>
      </c>
      <c r="O22" s="98">
        <f>BOFI!K8</f>
        <v>0.46862388253211973</v>
      </c>
      <c r="P22" s="90">
        <f>N22*O22</f>
        <v>0.0610323767339286</v>
      </c>
      <c r="Q22" s="124" t="s">
        <v>77</v>
      </c>
      <c r="R22" s="142" t="s">
        <v>87</v>
      </c>
      <c r="S22" s="83"/>
      <c r="T22" s="141">
        <v>24.65</v>
      </c>
      <c r="U22" s="91">
        <v>26.5</v>
      </c>
      <c r="V22" s="91">
        <v>26.49</v>
      </c>
      <c r="Y22" s="115"/>
    </row>
    <row r="23" spans="1:18" ht="14.25">
      <c r="A23" s="25"/>
      <c r="B23" s="60"/>
      <c r="C23" s="26"/>
      <c r="D23" s="133"/>
      <c r="E23" s="139"/>
      <c r="H23" s="62"/>
      <c r="I23" s="30"/>
      <c r="J23" s="44"/>
      <c r="K23" s="62"/>
      <c r="L23" s="32"/>
      <c r="M23" s="33"/>
      <c r="N23" s="33"/>
      <c r="O23" s="98"/>
      <c r="R23" s="142"/>
    </row>
    <row r="24" spans="1:25" s="91" customFormat="1" ht="12.75">
      <c r="A24" s="83"/>
      <c r="B24" s="87"/>
      <c r="C24" s="88"/>
      <c r="D24" s="134"/>
      <c r="E24" s="140"/>
      <c r="F24" s="89" t="s">
        <v>103</v>
      </c>
      <c r="G24" s="111">
        <f>FDS!D5</f>
        <v>11.52783</v>
      </c>
      <c r="H24" s="94">
        <f>FDS!E6</f>
        <v>1933.21</v>
      </c>
      <c r="I24" s="92">
        <f>FDS!F5</f>
        <v>167.699384879895</v>
      </c>
      <c r="J24" s="93">
        <f>FDS!G5</f>
        <v>177.35</v>
      </c>
      <c r="K24" s="94">
        <f>FDS!H5</f>
        <v>2044.4606505</v>
      </c>
      <c r="L24" s="96">
        <f>FDS!I5</f>
        <v>111.25065049999989</v>
      </c>
      <c r="M24" s="99">
        <f>FDS!J5</f>
        <v>0.05754711102259966</v>
      </c>
      <c r="N24" s="47">
        <f>K24/K$49</f>
        <v>0.04627010713086846</v>
      </c>
      <c r="O24" s="98">
        <f>FDS!K5</f>
        <v>17.4951132774353</v>
      </c>
      <c r="P24" s="90">
        <f>N24*O24</f>
        <v>0.8095007656136106</v>
      </c>
      <c r="Q24" s="124" t="s">
        <v>66</v>
      </c>
      <c r="R24" s="142" t="s">
        <v>89</v>
      </c>
      <c r="S24" s="8"/>
      <c r="T24" s="83"/>
      <c r="U24" s="8"/>
      <c r="V24" s="83">
        <v>167.7</v>
      </c>
      <c r="W24" s="83"/>
      <c r="Y24" s="8"/>
    </row>
    <row r="25" spans="1:18" ht="14.25">
      <c r="A25" s="25"/>
      <c r="B25" s="60"/>
      <c r="C25" s="26"/>
      <c r="D25" s="133"/>
      <c r="E25" s="139"/>
      <c r="H25" s="62"/>
      <c r="I25" s="30"/>
      <c r="J25" s="44"/>
      <c r="K25" s="62"/>
      <c r="L25" s="32"/>
      <c r="M25" s="33"/>
      <c r="N25" s="33"/>
      <c r="O25" s="98"/>
      <c r="R25" s="142"/>
    </row>
    <row r="26" spans="1:25" s="91" customFormat="1" ht="12.75">
      <c r="A26" s="83"/>
      <c r="B26" s="87"/>
      <c r="C26" s="88"/>
      <c r="D26" s="134"/>
      <c r="E26" s="140"/>
      <c r="F26" s="89" t="s">
        <v>102</v>
      </c>
      <c r="G26" s="111">
        <f>OZRK!D4</f>
        <v>88.04802</v>
      </c>
      <c r="H26" s="94">
        <f>OZRK!E5</f>
        <v>4000</v>
      </c>
      <c r="I26" s="92">
        <f>OZRK!F4</f>
        <v>45.42975526309394</v>
      </c>
      <c r="J26" s="93">
        <f>OZRK!G4</f>
        <v>47.37</v>
      </c>
      <c r="K26" s="94">
        <f>OZRK!H4</f>
        <v>4170.834707399999</v>
      </c>
      <c r="L26" s="96">
        <f>OZRK!I4</f>
        <v>170.8347073999994</v>
      </c>
      <c r="M26" s="99">
        <f>OZRK!J4</f>
        <v>0.04270867684999985</v>
      </c>
      <c r="N26" s="47">
        <f>K26/K$49</f>
        <v>0.09439407341459242</v>
      </c>
      <c r="O26" s="98">
        <f>OZRK!K4</f>
        <v>7.852584123611449</v>
      </c>
      <c r="P26" s="90">
        <f>N26*O26</f>
        <v>0.741237402258442</v>
      </c>
      <c r="Q26" s="124" t="s">
        <v>66</v>
      </c>
      <c r="R26" s="142" t="s">
        <v>89</v>
      </c>
      <c r="S26" s="8"/>
      <c r="T26" s="83"/>
      <c r="U26" s="8"/>
      <c r="V26" s="83">
        <v>45.43</v>
      </c>
      <c r="W26" s="83"/>
      <c r="Y26" s="8"/>
    </row>
    <row r="27" spans="1:18" ht="14.25">
      <c r="A27" s="25"/>
      <c r="B27" s="60"/>
      <c r="C27" s="26"/>
      <c r="D27" s="133"/>
      <c r="E27" s="139"/>
      <c r="H27" s="62"/>
      <c r="I27" s="30"/>
      <c r="J27" s="44"/>
      <c r="K27" s="62"/>
      <c r="L27" s="32"/>
      <c r="M27" s="33"/>
      <c r="N27" s="33"/>
      <c r="O27" s="98"/>
      <c r="R27" s="142"/>
    </row>
    <row r="28" spans="1:25" s="91" customFormat="1" ht="12.75">
      <c r="A28" s="83"/>
      <c r="E28" s="140"/>
      <c r="F28" s="89" t="s">
        <v>60</v>
      </c>
      <c r="G28" s="111">
        <f>SFST!D5</f>
        <v>51.492149999999995</v>
      </c>
      <c r="H28" s="94">
        <f>SFST!E6</f>
        <v>932.9200000000001</v>
      </c>
      <c r="I28" s="92">
        <f>SFST!F5</f>
        <v>18.117713088305695</v>
      </c>
      <c r="J28" s="93">
        <f>SFST!G5</f>
        <v>36.55</v>
      </c>
      <c r="K28" s="94">
        <f>SFST!H5</f>
        <v>1882.0380824999997</v>
      </c>
      <c r="L28" s="96">
        <f>SFST!I5</f>
        <v>949.1180824999997</v>
      </c>
      <c r="M28" s="99">
        <f>SFST!J5</f>
        <v>1.0173627776229468</v>
      </c>
      <c r="N28" s="47">
        <f>K28/K$49</f>
        <v>0.042594169606713715</v>
      </c>
      <c r="O28" s="98">
        <f>SFST!K5</f>
        <v>0.3597083628177644</v>
      </c>
      <c r="P28" s="90">
        <f>N28*O28</f>
        <v>0.01532147901481317</v>
      </c>
      <c r="Q28" s="124" t="s">
        <v>66</v>
      </c>
      <c r="R28" s="142" t="s">
        <v>89</v>
      </c>
      <c r="S28" s="8"/>
      <c r="T28" s="83">
        <v>36.9</v>
      </c>
      <c r="U28" s="8">
        <v>35.9</v>
      </c>
      <c r="V28" s="83">
        <v>36</v>
      </c>
      <c r="W28" s="83"/>
      <c r="Y28" s="8"/>
    </row>
    <row r="29" spans="1:27" ht="14.25">
      <c r="A29" s="25" t="s">
        <v>85</v>
      </c>
      <c r="B29" s="60"/>
      <c r="C29" s="26"/>
      <c r="D29" s="133"/>
      <c r="E29" s="139"/>
      <c r="H29" s="62"/>
      <c r="I29" s="30"/>
      <c r="J29" s="44"/>
      <c r="K29" s="62"/>
      <c r="L29" s="32"/>
      <c r="M29" s="33"/>
      <c r="O29" s="98"/>
      <c r="R29" s="142"/>
      <c r="W29" s="11"/>
      <c r="AA29" s="114"/>
    </row>
    <row r="30" spans="1:25" s="91" customFormat="1" ht="12.75">
      <c r="A30" s="83"/>
      <c r="B30" s="87">
        <f>SUM(K29:K31)</f>
        <v>0</v>
      </c>
      <c r="C30" s="88">
        <f>B30/ValueAmount</f>
        <v>0</v>
      </c>
      <c r="D30" s="134">
        <f>(0.3-C30)*ValueAmount</f>
        <v>13255.603524220498</v>
      </c>
      <c r="E30" s="140"/>
      <c r="F30" s="89"/>
      <c r="G30" s="111"/>
      <c r="H30" s="94"/>
      <c r="I30" s="92"/>
      <c r="J30" s="93"/>
      <c r="K30" s="94"/>
      <c r="L30" s="96"/>
      <c r="M30" s="99"/>
      <c r="N30" s="33"/>
      <c r="O30" s="98"/>
      <c r="P30" s="90"/>
      <c r="Q30" s="124"/>
      <c r="R30" s="142"/>
      <c r="S30" s="87"/>
      <c r="Y30" s="115"/>
    </row>
    <row r="31" spans="1:18" ht="14.25">
      <c r="A31" s="25" t="s">
        <v>82</v>
      </c>
      <c r="B31" s="60"/>
      <c r="C31" s="26"/>
      <c r="D31" s="133"/>
      <c r="E31" s="139"/>
      <c r="H31" s="62"/>
      <c r="I31" s="30"/>
      <c r="J31" s="44"/>
      <c r="K31" s="62"/>
      <c r="L31" s="32"/>
      <c r="M31" s="33"/>
      <c r="N31" s="33"/>
      <c r="O31" s="98"/>
      <c r="R31" s="142"/>
    </row>
    <row r="32" spans="1:25" s="91" customFormat="1" ht="12.75">
      <c r="A32" s="83"/>
      <c r="B32" s="87">
        <f>SUM(K31:K37)</f>
        <v>8259.0473808</v>
      </c>
      <c r="C32" s="88">
        <f>B32/ValueAmount</f>
        <v>0.18691825006026674</v>
      </c>
      <c r="D32" s="134">
        <f>(0.3-C32)*ValueAmount</f>
        <v>4996.556143420497</v>
      </c>
      <c r="E32" s="140"/>
      <c r="F32" s="89" t="s">
        <v>101</v>
      </c>
      <c r="G32" s="111">
        <f>AGX!D3</f>
        <v>61.30278</v>
      </c>
      <c r="H32" s="87">
        <f>AGX!E5</f>
        <v>4000</v>
      </c>
      <c r="I32" s="92">
        <f>AGX!F4</f>
        <v>65.24989568172929</v>
      </c>
      <c r="J32" s="93">
        <f>AGX!G4</f>
        <v>66.65</v>
      </c>
      <c r="K32" s="94">
        <f>AGX!H4</f>
        <v>4085.830287</v>
      </c>
      <c r="L32" s="96">
        <f>AGX!I4</f>
        <v>85.83028700000023</v>
      </c>
      <c r="M32" s="95">
        <f>AGX!J4</f>
        <v>0.021457571750000057</v>
      </c>
      <c r="N32" s="47">
        <f>K32/K$49</f>
        <v>0.09247025862385853</v>
      </c>
      <c r="O32" s="98">
        <f>AGX!K4</f>
        <v>2.0253418684005737</v>
      </c>
      <c r="P32" s="90">
        <f>N32*O32</f>
        <v>0.1872838863727299</v>
      </c>
      <c r="Q32" s="124" t="s">
        <v>65</v>
      </c>
      <c r="R32" s="142" t="s">
        <v>96</v>
      </c>
      <c r="S32" s="83"/>
      <c r="T32" s="83"/>
      <c r="U32" s="8"/>
      <c r="V32" s="83">
        <v>65.25</v>
      </c>
      <c r="W32" s="83"/>
      <c r="Y32" s="8"/>
    </row>
    <row r="33" spans="1:20" ht="14.25">
      <c r="A33" s="25"/>
      <c r="B33" s="60"/>
      <c r="C33" s="26"/>
      <c r="D33" s="133"/>
      <c r="E33" s="139"/>
      <c r="H33" s="62"/>
      <c r="I33" s="30"/>
      <c r="J33" s="44"/>
      <c r="K33" s="62"/>
      <c r="L33" s="32"/>
      <c r="M33" s="33"/>
      <c r="N33" s="33"/>
      <c r="O33" s="98"/>
      <c r="R33" s="142"/>
      <c r="T33" s="114"/>
    </row>
    <row r="34" spans="1:25" s="91" customFormat="1" ht="12.75">
      <c r="A34" s="83"/>
      <c r="E34" s="140"/>
      <c r="F34" s="89" t="s">
        <v>100</v>
      </c>
      <c r="G34" s="111">
        <f>'DY'!D4</f>
        <v>38.80204</v>
      </c>
      <c r="H34" s="87">
        <f>'DY'!E5</f>
        <v>3200</v>
      </c>
      <c r="I34" s="92">
        <f>'DY'!F4</f>
        <v>82.46989075832096</v>
      </c>
      <c r="J34" s="93">
        <f>'DY'!G4</f>
        <v>85.13</v>
      </c>
      <c r="K34" s="94">
        <f>'DY'!H4</f>
        <v>3303.2176652</v>
      </c>
      <c r="L34" s="96">
        <f>'DY'!I4</f>
        <v>103.21766519999983</v>
      </c>
      <c r="M34" s="95">
        <f>'DY'!J4</f>
        <v>0.032255520374999944</v>
      </c>
      <c r="N34" s="47">
        <f>K34/K$49</f>
        <v>0.07475821811879924</v>
      </c>
      <c r="O34" s="98">
        <f>'DY'!K4</f>
        <v>0.3092753827571869</v>
      </c>
      <c r="P34" s="90">
        <f>N34*O34</f>
        <v>0.0231208765229369</v>
      </c>
      <c r="Q34" s="124" t="s">
        <v>65</v>
      </c>
      <c r="R34" s="142" t="s">
        <v>96</v>
      </c>
      <c r="S34" s="83"/>
      <c r="T34" s="83"/>
      <c r="U34" s="8">
        <v>82.47</v>
      </c>
      <c r="V34" s="83">
        <v>81.36</v>
      </c>
      <c r="W34" s="83"/>
      <c r="Y34" s="8"/>
    </row>
    <row r="35" spans="1:20" ht="14.25">
      <c r="A35" s="25"/>
      <c r="B35" s="60"/>
      <c r="C35" s="26"/>
      <c r="D35" s="133"/>
      <c r="E35" s="139"/>
      <c r="H35" s="62"/>
      <c r="I35" s="30"/>
      <c r="J35" s="44"/>
      <c r="K35" s="62"/>
      <c r="L35" s="32"/>
      <c r="M35" s="33"/>
      <c r="N35" s="33"/>
      <c r="O35" s="98"/>
      <c r="R35" s="142"/>
      <c r="T35" s="114"/>
    </row>
    <row r="36" spans="1:25" s="91" customFormat="1" ht="12.75">
      <c r="A36" s="83"/>
      <c r="E36" s="140"/>
      <c r="F36" s="89" t="s">
        <v>97</v>
      </c>
      <c r="G36" s="111">
        <f>JBLU!D4</f>
        <v>47.10338</v>
      </c>
      <c r="H36" s="87">
        <f>JBLU!E5</f>
        <v>1000</v>
      </c>
      <c r="I36" s="92">
        <f>JBLU!F4</f>
        <v>21.229899000878493</v>
      </c>
      <c r="J36" s="93">
        <f>JBLU!G4</f>
        <v>18.47</v>
      </c>
      <c r="K36" s="94">
        <f>JBLU!H4</f>
        <v>869.9994286</v>
      </c>
      <c r="L36" s="96">
        <f>JBLU!I4</f>
        <v>-130.0005714</v>
      </c>
      <c r="M36" s="95">
        <f>JBLU!J4</f>
        <v>-0.13000057140000001</v>
      </c>
      <c r="N36" s="47">
        <f>K36/K$49</f>
        <v>0.019689773317608954</v>
      </c>
      <c r="O36" s="98">
        <f>JBLU!K4</f>
        <v>-0.2693136326968671</v>
      </c>
      <c r="P36" s="90">
        <f>N36*O36</f>
        <v>-0.005302724379143112</v>
      </c>
      <c r="Q36" s="124" t="s">
        <v>65</v>
      </c>
      <c r="R36" s="142" t="s">
        <v>96</v>
      </c>
      <c r="S36" s="83"/>
      <c r="T36" s="83">
        <v>23.35</v>
      </c>
      <c r="U36" s="8">
        <v>20.41</v>
      </c>
      <c r="V36" s="83">
        <v>19.34</v>
      </c>
      <c r="W36" s="83"/>
      <c r="Y36" s="8"/>
    </row>
    <row r="37" spans="1:20" ht="14.25">
      <c r="A37" s="25" t="s">
        <v>73</v>
      </c>
      <c r="B37" s="60"/>
      <c r="C37" s="26"/>
      <c r="D37" s="133"/>
      <c r="E37" s="139"/>
      <c r="H37" s="62"/>
      <c r="I37" s="30"/>
      <c r="J37" s="44"/>
      <c r="K37" s="62"/>
      <c r="L37" s="32"/>
      <c r="M37" s="33"/>
      <c r="N37" s="33"/>
      <c r="O37" s="98"/>
      <c r="R37" s="142"/>
      <c r="T37" s="114"/>
    </row>
    <row r="38" spans="1:25" s="91" customFormat="1" ht="12.75">
      <c r="A38" s="83"/>
      <c r="B38" s="87">
        <f>SUM(K37:K39)</f>
        <v>0</v>
      </c>
      <c r="C38" s="88">
        <f>B38/ValueAmount</f>
        <v>0</v>
      </c>
      <c r="D38" s="134">
        <f>(0.3-C38)*ValueAmount</f>
        <v>13255.603524220498</v>
      </c>
      <c r="E38" s="140"/>
      <c r="F38" s="89"/>
      <c r="G38" s="111"/>
      <c r="H38" s="87"/>
      <c r="I38" s="92"/>
      <c r="J38" s="93"/>
      <c r="K38" s="94"/>
      <c r="L38" s="96"/>
      <c r="M38" s="95"/>
      <c r="N38" s="98"/>
      <c r="O38" s="98"/>
      <c r="P38" s="90"/>
      <c r="Q38" s="124"/>
      <c r="R38" s="142"/>
      <c r="S38" s="83"/>
      <c r="T38" s="83"/>
      <c r="U38" s="8"/>
      <c r="V38" s="83"/>
      <c r="W38" s="83"/>
      <c r="Y38" s="8"/>
    </row>
    <row r="39" spans="1:18" ht="14.25">
      <c r="A39" s="25" t="s">
        <v>71</v>
      </c>
      <c r="B39" s="60"/>
      <c r="C39" s="26"/>
      <c r="D39" s="133"/>
      <c r="E39" s="139"/>
      <c r="H39" s="62"/>
      <c r="I39" s="30"/>
      <c r="J39" s="44"/>
      <c r="K39" s="62"/>
      <c r="L39" s="32"/>
      <c r="M39" s="33"/>
      <c r="N39" s="33"/>
      <c r="O39" s="98"/>
      <c r="R39" s="142"/>
    </row>
    <row r="40" spans="1:25" s="91" customFormat="1" ht="12.75">
      <c r="A40" s="83"/>
      <c r="B40" s="87">
        <f>SUM(K39:K41)</f>
        <v>0</v>
      </c>
      <c r="C40" s="88">
        <f>B40/ValueAmount</f>
        <v>0</v>
      </c>
      <c r="D40" s="134">
        <f>(0.3-C40)*ValueAmount</f>
        <v>13255.603524220498</v>
      </c>
      <c r="E40" s="140"/>
      <c r="F40" s="89"/>
      <c r="G40" s="111"/>
      <c r="H40" s="87"/>
      <c r="I40" s="92"/>
      <c r="J40" s="93"/>
      <c r="K40" s="94"/>
      <c r="L40" s="96"/>
      <c r="M40" s="95"/>
      <c r="N40" s="98"/>
      <c r="O40" s="98"/>
      <c r="P40" s="90"/>
      <c r="Q40" s="124"/>
      <c r="R40" s="142"/>
      <c r="S40" s="83"/>
      <c r="T40" s="83"/>
      <c r="U40" s="8"/>
      <c r="V40" s="83"/>
      <c r="W40" s="83"/>
      <c r="Y40" s="8"/>
    </row>
    <row r="41" spans="1:18" ht="14.25">
      <c r="A41" s="25" t="s">
        <v>34</v>
      </c>
      <c r="B41" s="60"/>
      <c r="C41" s="26"/>
      <c r="D41" s="133"/>
      <c r="E41" s="139"/>
      <c r="H41" s="62"/>
      <c r="I41" s="30"/>
      <c r="J41" s="44"/>
      <c r="K41" s="62"/>
      <c r="L41" s="32"/>
      <c r="M41" s="33"/>
      <c r="N41" s="33"/>
      <c r="O41" s="98"/>
      <c r="R41" s="142"/>
    </row>
    <row r="42" spans="1:25" s="91" customFormat="1" ht="12.75">
      <c r="A42" s="83"/>
      <c r="B42" s="87">
        <f>SUM(K41:K45)</f>
        <v>8251.975147485</v>
      </c>
      <c r="C42" s="88">
        <f>B42/ValueAmount</f>
        <v>0.18675819171281968</v>
      </c>
      <c r="D42" s="134">
        <f>(0.3-C42)*ValueAmount</f>
        <v>5003.628376735498</v>
      </c>
      <c r="E42" s="140"/>
      <c r="F42" s="89" t="s">
        <v>80</v>
      </c>
      <c r="G42" s="111">
        <f>'FB'!D6</f>
        <v>19.47633</v>
      </c>
      <c r="H42" s="94">
        <f>'FB'!E7</f>
        <v>2457.7400000000002</v>
      </c>
      <c r="I42" s="92">
        <f>'FB'!F6</f>
        <v>126.19112533008015</v>
      </c>
      <c r="J42" s="93">
        <f>'FB'!G6</f>
        <v>167.8495</v>
      </c>
      <c r="K42" s="94">
        <f>'FB'!H6</f>
        <v>3269.0922523350005</v>
      </c>
      <c r="L42" s="96">
        <f>'FB'!I6</f>
        <v>811.3522523350002</v>
      </c>
      <c r="M42" s="99">
        <f>'FB'!J6</f>
        <v>0.33012127089724713</v>
      </c>
      <c r="N42" s="47">
        <f>K42/K$49</f>
        <v>0.07398589388318116</v>
      </c>
      <c r="O42" s="98">
        <f>'FB'!K6</f>
        <v>0.36800181269645693</v>
      </c>
      <c r="P42" s="90">
        <f>N42*O42</f>
        <v>0.027226943062978372</v>
      </c>
      <c r="Q42" s="124" t="s">
        <v>68</v>
      </c>
      <c r="R42" s="142" t="s">
        <v>90</v>
      </c>
      <c r="S42" s="83"/>
      <c r="T42" s="91">
        <v>165.06</v>
      </c>
      <c r="U42" s="91">
        <v>167.43</v>
      </c>
      <c r="V42" s="91">
        <v>171.72</v>
      </c>
      <c r="Y42" s="115"/>
    </row>
    <row r="43" spans="1:18" ht="14.25">
      <c r="A43" s="25"/>
      <c r="B43" s="60"/>
      <c r="C43" s="26"/>
      <c r="D43" s="133"/>
      <c r="E43" s="139"/>
      <c r="H43" s="62"/>
      <c r="I43" s="30"/>
      <c r="J43" s="44"/>
      <c r="K43" s="62"/>
      <c r="L43" s="32"/>
      <c r="M43" s="33"/>
      <c r="N43" s="33"/>
      <c r="O43" s="98"/>
      <c r="R43" s="142"/>
    </row>
    <row r="44" spans="1:25" s="91" customFormat="1" ht="12.75">
      <c r="A44" s="83"/>
      <c r="D44" s="135"/>
      <c r="E44" s="140"/>
      <c r="F44" s="89" t="s">
        <v>75</v>
      </c>
      <c r="G44" s="111">
        <f>GOOGL!D6</f>
        <v>5.186909999999999</v>
      </c>
      <c r="H44" s="94">
        <f>GOOGL!E7</f>
        <v>4115.12</v>
      </c>
      <c r="I44" s="92">
        <f>GOOGL!F6</f>
        <v>793.3663780555283</v>
      </c>
      <c r="J44" s="93">
        <f>GOOGL!G6</f>
        <v>960.665</v>
      </c>
      <c r="K44" s="94">
        <f>GOOGL!H6</f>
        <v>4982.882895149999</v>
      </c>
      <c r="L44" s="96">
        <f>GOOGL!I6</f>
        <v>867.7628951499992</v>
      </c>
      <c r="M44" s="99">
        <f>GOOGL!J6</f>
        <v>0.2108718324496003</v>
      </c>
      <c r="N44" s="47">
        <f>K44/K$49</f>
        <v>0.11277229782963849</v>
      </c>
      <c r="O44" s="98">
        <f>GOOGL!K6</f>
        <v>0.1659143149852753</v>
      </c>
      <c r="P44" s="90">
        <f>N44*O44</f>
        <v>0.01871053854371992</v>
      </c>
      <c r="Q44" s="124" t="s">
        <v>68</v>
      </c>
      <c r="R44" s="142" t="s">
        <v>86</v>
      </c>
      <c r="S44" s="83"/>
      <c r="T44" s="91">
        <v>992.52</v>
      </c>
      <c r="U44" s="91">
        <v>927.35</v>
      </c>
      <c r="V44" s="91">
        <v>947.52</v>
      </c>
      <c r="Y44" s="115"/>
    </row>
    <row r="45" spans="1:18" ht="14.25">
      <c r="A45" s="25" t="s">
        <v>36</v>
      </c>
      <c r="B45" s="60"/>
      <c r="C45" s="26"/>
      <c r="D45" s="133"/>
      <c r="E45" s="139"/>
      <c r="H45" s="62"/>
      <c r="I45" s="30"/>
      <c r="J45" s="44"/>
      <c r="K45" s="62"/>
      <c r="L45" s="32"/>
      <c r="M45" s="33"/>
      <c r="N45" s="8"/>
      <c r="O45" s="98"/>
      <c r="R45" s="118"/>
    </row>
    <row r="46" spans="2:20" ht="15">
      <c r="B46" s="87">
        <f>SUM(K45:K47)</f>
        <v>0</v>
      </c>
      <c r="C46" s="88">
        <f>B46/ValueAmount</f>
        <v>0</v>
      </c>
      <c r="D46" s="134">
        <f>(0.3-C46)*ValueAmount</f>
        <v>13255.603524220498</v>
      </c>
      <c r="F46" s="89"/>
      <c r="G46" s="111"/>
      <c r="H46" s="94"/>
      <c r="I46" s="92"/>
      <c r="J46" s="93"/>
      <c r="K46" s="94"/>
      <c r="L46" s="96"/>
      <c r="M46" s="99"/>
      <c r="N46" s="33"/>
      <c r="O46" s="98"/>
      <c r="P46" s="90"/>
      <c r="Q46" s="124"/>
      <c r="R46" s="118"/>
      <c r="T46" s="125"/>
    </row>
    <row r="47" spans="1:20" ht="15">
      <c r="A47" s="25" t="s">
        <v>18</v>
      </c>
      <c r="B47" s="87"/>
      <c r="C47" s="88"/>
      <c r="D47" s="134"/>
      <c r="F47" s="89"/>
      <c r="G47" s="111"/>
      <c r="H47" s="94"/>
      <c r="I47" s="92"/>
      <c r="J47" s="93"/>
      <c r="K47" s="94"/>
      <c r="L47" s="96"/>
      <c r="M47" s="99"/>
      <c r="N47" s="33"/>
      <c r="O47" s="98"/>
      <c r="P47" s="90"/>
      <c r="Q47" s="124"/>
      <c r="R47" s="118"/>
      <c r="T47" s="125"/>
    </row>
    <row r="48" spans="2:17" ht="12.75">
      <c r="B48" s="87">
        <f>SUM(K47:K48)</f>
        <v>0.01</v>
      </c>
      <c r="C48" s="88">
        <f>B48/ValueAmount</f>
        <v>2.2631938217814314E-07</v>
      </c>
      <c r="D48" s="134">
        <f>(0.3-C48)*ValueAmount</f>
        <v>13255.593524220498</v>
      </c>
      <c r="E48" s="139"/>
      <c r="F48" s="89" t="s">
        <v>19</v>
      </c>
      <c r="G48" s="89" t="s">
        <v>39</v>
      </c>
      <c r="H48" s="127">
        <v>0.01</v>
      </c>
      <c r="I48" s="30"/>
      <c r="J48" s="44"/>
      <c r="K48" s="127">
        <f>H48</f>
        <v>0.01</v>
      </c>
      <c r="L48" s="42"/>
      <c r="N48" s="33">
        <f>K48/ValueAmount</f>
        <v>2.2631938217814314E-07</v>
      </c>
      <c r="O48" s="15"/>
      <c r="P48" s="70"/>
      <c r="Q48" s="28" t="s">
        <v>18</v>
      </c>
    </row>
    <row r="49" spans="3:18" ht="15">
      <c r="C49" s="31"/>
      <c r="H49" s="94">
        <f ca="1">SUM(OFFSET(H2,1,0):OFFSET(H49,-1,0))</f>
        <v>36902.490000000005</v>
      </c>
      <c r="J49" s="44"/>
      <c r="K49" s="94">
        <f ca="1">SUM(OFFSET(K2,1,0):OFFSET(K49,-1,0))</f>
        <v>44185.345080734995</v>
      </c>
      <c r="L49" s="94">
        <f ca="1">SUM(OFFSET(L2,1,0):OFFSET(L49,-1,0))</f>
        <v>7282.855080734998</v>
      </c>
      <c r="M49" s="53">
        <f>Profit/InvestedAmount</f>
        <v>0.19735402897568693</v>
      </c>
      <c r="N49" s="84" t="s">
        <v>28</v>
      </c>
      <c r="O49" s="54">
        <f>'Stock Prices'!C18</f>
        <v>43006</v>
      </c>
      <c r="P49" s="70">
        <f>SUM(P2:P47)</f>
        <v>1.9210113865857719</v>
      </c>
      <c r="Q49" s="105" t="s">
        <v>40</v>
      </c>
      <c r="R49" s="119"/>
    </row>
    <row r="50" spans="2:18" ht="13.5" thickBot="1">
      <c r="B50" s="87">
        <f>B4+B32+B6+B8+B18+B20+B22+B30+B38+B40+B42+B46+B48</f>
        <v>44185.345080735</v>
      </c>
      <c r="C50" s="88">
        <f>C4+C32+C6+C8+C18+C20+C22+C30+C38+C40+C42+C46+C48</f>
        <v>1.0000000000000002</v>
      </c>
      <c r="K50" s="94"/>
      <c r="L50" s="94">
        <f>K49-H49</f>
        <v>7282.855080734989</v>
      </c>
      <c r="Q50" s="130"/>
      <c r="R50" s="118"/>
    </row>
    <row r="51" spans="3:15" ht="13.5" thickBot="1">
      <c r="C51" s="48"/>
      <c r="D51" s="137"/>
      <c r="E51" s="137"/>
      <c r="L51" s="145" t="s">
        <v>20</v>
      </c>
      <c r="M51" s="146"/>
      <c r="N51" s="49">
        <f ca="1">COUNTIF(OFFSET(TickerStart,1,0):OFFSET(TickerStop,-2,0),"&gt;'a'")</f>
        <v>14</v>
      </c>
      <c r="O51" s="97"/>
    </row>
    <row r="52" spans="4:18" ht="12.75">
      <c r="D52" s="138"/>
      <c r="E52" s="137"/>
      <c r="J52" s="8"/>
      <c r="L52" s="147" t="s">
        <v>21</v>
      </c>
      <c r="M52" s="148"/>
      <c r="N52" s="50">
        <v>0.15</v>
      </c>
      <c r="O52" s="55">
        <f>N52*K49</f>
        <v>6627.801762110249</v>
      </c>
      <c r="R52" s="119"/>
    </row>
    <row r="53" spans="4:15" ht="12.75">
      <c r="D53" s="138"/>
      <c r="E53" s="137"/>
      <c r="J53" s="8"/>
      <c r="L53" s="149" t="s">
        <v>22</v>
      </c>
      <c r="M53" s="150"/>
      <c r="N53" s="51">
        <v>0.12</v>
      </c>
      <c r="O53" s="56">
        <f>N53*K49</f>
        <v>5302.241409688199</v>
      </c>
    </row>
    <row r="54" spans="4:15" ht="13.5" thickBot="1">
      <c r="D54" s="137"/>
      <c r="E54" s="137"/>
      <c r="L54" s="151" t="s">
        <v>23</v>
      </c>
      <c r="M54" s="152"/>
      <c r="N54" s="52">
        <v>0.02</v>
      </c>
      <c r="O54" s="57">
        <f>N54*K49</f>
        <v>883.7069016146999</v>
      </c>
    </row>
    <row r="55" spans="3:13" ht="12">
      <c r="C55" s="8"/>
      <c r="D55" s="136"/>
      <c r="M55" s="66"/>
    </row>
    <row r="56" spans="3:13" ht="12">
      <c r="C56" s="8"/>
      <c r="D56" s="136"/>
      <c r="G56" s="108"/>
      <c r="K56" s="100"/>
      <c r="L56" s="58" t="s">
        <v>18</v>
      </c>
      <c r="M56" s="48">
        <f>SUMIF($Q$1:$Q$48,"=Cash",$N$1:$N$48)</f>
        <v>2.2631938217814314E-07</v>
      </c>
    </row>
    <row r="57" spans="7:13" ht="12">
      <c r="G57" s="131" t="str">
        <f>A3</f>
        <v>Basic Materials</v>
      </c>
      <c r="H57" s="48">
        <f>C4</f>
        <v>0</v>
      </c>
      <c r="L57" s="8" t="s">
        <v>66</v>
      </c>
      <c r="M57" s="48">
        <f>SUMIF($Q$1:$Q$48,"=Micro",$N$1:$N$48)</f>
        <v>0.1832583501521746</v>
      </c>
    </row>
    <row r="58" spans="7:13" ht="12">
      <c r="G58" s="131" t="str">
        <f>A31</f>
        <v>Industrial</v>
      </c>
      <c r="H58" s="48">
        <f>C32</f>
        <v>0.18691825006026674</v>
      </c>
      <c r="L58" s="8" t="s">
        <v>77</v>
      </c>
      <c r="M58" s="48">
        <f>SUMIF($Q$1:$Q$48,"=Small",$N$1:$N$48)</f>
        <v>0.1302374441613001</v>
      </c>
    </row>
    <row r="59" spans="7:19" ht="12">
      <c r="G59" s="131" t="str">
        <f>A5</f>
        <v>Conglomerates</v>
      </c>
      <c r="H59" s="48">
        <f>C6</f>
        <v>0</v>
      </c>
      <c r="L59" s="8" t="s">
        <v>67</v>
      </c>
      <c r="M59" s="48">
        <f>SUMIF($Q$1:$Q$48,"=Medium",$N$1:$N$48)</f>
        <v>0.06621933609330836</v>
      </c>
      <c r="R59" s="118"/>
      <c r="S59" s="58"/>
    </row>
    <row r="60" spans="7:19" ht="12">
      <c r="G60" s="131" t="str">
        <f>A7</f>
        <v>Consumer Cyclical</v>
      </c>
      <c r="H60" s="48">
        <f>C8</f>
        <v>0.3128275375940568</v>
      </c>
      <c r="L60" s="8" t="s">
        <v>65</v>
      </c>
      <c r="M60" s="48">
        <f>SUMIF($Q$1:$Q$48,"=Large",$N$1:$N$48)</f>
        <v>0.393634836162757</v>
      </c>
      <c r="R60" s="118"/>
      <c r="S60" s="58"/>
    </row>
    <row r="61" spans="7:18" ht="12">
      <c r="G61" s="131" t="str">
        <f>A17</f>
        <v>Consumer Defensive</v>
      </c>
      <c r="H61" s="48">
        <f>C18</f>
        <v>0</v>
      </c>
      <c r="L61" s="8" t="s">
        <v>68</v>
      </c>
      <c r="M61" s="48">
        <f>SUMIF($Q$1:$Q$48,"=Mega",$N$1:$N$48)</f>
        <v>0.22664980711107785</v>
      </c>
      <c r="R61" s="118"/>
    </row>
    <row r="62" spans="7:8" ht="12">
      <c r="G62" s="131" t="str">
        <f>A19</f>
        <v>Energy</v>
      </c>
      <c r="H62" s="48">
        <f>C20</f>
        <v>0</v>
      </c>
    </row>
    <row r="63" spans="7:8" ht="12">
      <c r="G63" s="131" t="str">
        <f>A21</f>
        <v>Financial Services</v>
      </c>
      <c r="H63" s="48">
        <f>C22</f>
        <v>0.3134957943134747</v>
      </c>
    </row>
    <row r="64" spans="7:8" ht="12">
      <c r="G64" s="131" t="str">
        <f>A29</f>
        <v>Healthcare</v>
      </c>
      <c r="H64" s="48">
        <f>C30</f>
        <v>0</v>
      </c>
    </row>
    <row r="65" spans="7:8" ht="12">
      <c r="G65" s="131" t="str">
        <f>A37</f>
        <v>Retail (Specialty Non-Apparel)</v>
      </c>
      <c r="H65" s="48">
        <f>C38</f>
        <v>0</v>
      </c>
    </row>
    <row r="66" spans="7:8" ht="12">
      <c r="G66" s="131" t="str">
        <f>A39</f>
        <v>Services</v>
      </c>
      <c r="H66" s="48">
        <f>C40</f>
        <v>0</v>
      </c>
    </row>
    <row r="67" spans="7:8" ht="12">
      <c r="G67" s="131" t="str">
        <f>A41</f>
        <v>Technology</v>
      </c>
      <c r="H67" s="48">
        <f>C42</f>
        <v>0.18675819171281968</v>
      </c>
    </row>
    <row r="68" spans="7:8" ht="12">
      <c r="G68" s="131" t="str">
        <f>A45</f>
        <v>Utilities</v>
      </c>
      <c r="H68" s="48">
        <f>C46</f>
        <v>0</v>
      </c>
    </row>
    <row r="69" spans="7:8" ht="12">
      <c r="G69" s="131" t="str">
        <f>A47</f>
        <v>Cash</v>
      </c>
      <c r="H69" s="48">
        <f>C48</f>
        <v>2.2631938217814314E-07</v>
      </c>
    </row>
    <row r="71" ht="12">
      <c r="H71" s="126"/>
    </row>
    <row r="83" ht="12">
      <c r="F83" s="28"/>
    </row>
    <row r="84" ht="12">
      <c r="F84" s="28"/>
    </row>
    <row r="85" ht="12">
      <c r="F85" s="28"/>
    </row>
    <row r="86" ht="12">
      <c r="F86" s="28"/>
    </row>
    <row r="87" ht="12">
      <c r="F87" s="28"/>
    </row>
    <row r="88" ht="12">
      <c r="F88" s="28"/>
    </row>
    <row r="89" ht="12">
      <c r="F89" s="28"/>
    </row>
    <row r="90" ht="12">
      <c r="F90" s="28"/>
    </row>
    <row r="91" ht="12">
      <c r="F91" s="28"/>
    </row>
    <row r="92" ht="12">
      <c r="F92" s="28"/>
    </row>
  </sheetData>
  <sheetProtection/>
  <mergeCells count="4">
    <mergeCell ref="L51:M51"/>
    <mergeCell ref="L52:M52"/>
    <mergeCell ref="L53:M53"/>
    <mergeCell ref="L54:M54"/>
  </mergeCells>
  <conditionalFormatting sqref="O59:O69 O55 O50:O51 O1:O2">
    <cfRule type="cellIs" priority="893" dxfId="1" operator="greaterThan" stopIfTrue="1">
      <formula>0</formula>
    </cfRule>
    <cfRule type="cellIs" priority="894" dxfId="0" operator="lessThanOrEqual" stopIfTrue="1">
      <formula>0</formula>
    </cfRule>
  </conditionalFormatting>
  <conditionalFormatting sqref="P48:P49">
    <cfRule type="cellIs" priority="964" dxfId="572" operator="lessThan" stopIfTrue="1">
      <formula>0</formula>
    </cfRule>
    <cfRule type="cellIs" priority="965" dxfId="571" operator="greaterThanOrEqual" stopIfTrue="1">
      <formula>0.3</formula>
    </cfRule>
    <cfRule type="cellIs" priority="966" dxfId="570" operator="between" stopIfTrue="1">
      <formula>0</formula>
      <formula>0.1487</formula>
    </cfRule>
  </conditionalFormatting>
  <conditionalFormatting sqref="N59:N65536 N55 N1 N30 N39 N3:N4 N20:N21 N41 N48">
    <cfRule type="cellIs" priority="895" dxfId="394" operator="greaterThan" stopIfTrue="1">
      <formula>0.19</formula>
    </cfRule>
  </conditionalFormatting>
  <conditionalFormatting sqref="N50">
    <cfRule type="cellIs" priority="899" dxfId="394" operator="greaterThan" stopIfTrue="1">
      <formula>$N$57</formula>
    </cfRule>
    <cfRule type="cellIs" priority="900" dxfId="394" operator="lessThan" stopIfTrue="1">
      <formula>$N$58</formula>
    </cfRule>
  </conditionalFormatting>
  <conditionalFormatting sqref="M40">
    <cfRule type="cellIs" priority="915" dxfId="7" operator="greaterThanOrEqual" stopIfTrue="1">
      <formula>0.5</formula>
    </cfRule>
    <cfRule type="cellIs" priority="916" dxfId="3" operator="lessThan" stopIfTrue="1">
      <formula>0.0001</formula>
    </cfRule>
    <cfRule type="cellIs" priority="917" dxfId="2" operator="greaterThanOrEqual" stopIfTrue="1">
      <formula>0.0001</formula>
    </cfRule>
  </conditionalFormatting>
  <conditionalFormatting sqref="O40">
    <cfRule type="cellIs" priority="718" dxfId="402" operator="lessThan">
      <formula>0</formula>
    </cfRule>
  </conditionalFormatting>
  <conditionalFormatting sqref="C20">
    <cfRule type="cellIs" priority="701" dxfId="575" operator="greaterThanOrEqual" stopIfTrue="1">
      <formula>0.3</formula>
    </cfRule>
  </conditionalFormatting>
  <conditionalFormatting sqref="O20">
    <cfRule type="cellIs" priority="410" dxfId="402" operator="lessThan">
      <formula>0</formula>
    </cfRule>
  </conditionalFormatting>
  <conditionalFormatting sqref="M20">
    <cfRule type="cellIs" priority="411" dxfId="7" operator="greaterThanOrEqual" stopIfTrue="1">
      <formula>0.5</formula>
    </cfRule>
    <cfRule type="cellIs" priority="412" dxfId="3" operator="lessThan" stopIfTrue="1">
      <formula>0.0001</formula>
    </cfRule>
    <cfRule type="cellIs" priority="413" dxfId="2" operator="greaterThanOrEqual" stopIfTrue="1">
      <formula>0.0001</formula>
    </cfRule>
  </conditionalFormatting>
  <conditionalFormatting sqref="O9">
    <cfRule type="cellIs" priority="338" dxfId="402" operator="lessThan">
      <formula>0</formula>
    </cfRule>
  </conditionalFormatting>
  <conditionalFormatting sqref="M9">
    <cfRule type="cellIs" priority="339" dxfId="7" operator="greaterThanOrEqual" stopIfTrue="1">
      <formula>0.5</formula>
    </cfRule>
    <cfRule type="cellIs" priority="340" dxfId="3" operator="lessThan" stopIfTrue="1">
      <formula>0.0001</formula>
    </cfRule>
    <cfRule type="cellIs" priority="341" dxfId="2" operator="greaterThanOrEqual" stopIfTrue="1">
      <formula>0.0001</formula>
    </cfRule>
  </conditionalFormatting>
  <conditionalFormatting sqref="C8">
    <cfRule type="cellIs" priority="337" dxfId="575" operator="greaterThanOrEqual" stopIfTrue="1">
      <formula>0.3</formula>
    </cfRule>
  </conditionalFormatting>
  <conditionalFormatting sqref="N9">
    <cfRule type="cellIs" priority="336" dxfId="394" operator="greaterThan" stopIfTrue="1">
      <formula>0.19</formula>
    </cfRule>
  </conditionalFormatting>
  <conditionalFormatting sqref="O8">
    <cfRule type="cellIs" priority="332" dxfId="402" operator="lessThan">
      <formula>0</formula>
    </cfRule>
  </conditionalFormatting>
  <conditionalFormatting sqref="M8">
    <cfRule type="cellIs" priority="333" dxfId="7" operator="greaterThanOrEqual" stopIfTrue="1">
      <formula>0.5</formula>
    </cfRule>
    <cfRule type="cellIs" priority="334" dxfId="3" operator="lessThan" stopIfTrue="1">
      <formula>0.0001</formula>
    </cfRule>
    <cfRule type="cellIs" priority="335" dxfId="2" operator="greaterThanOrEqual" stopIfTrue="1">
      <formula>0.0001</formula>
    </cfRule>
  </conditionalFormatting>
  <conditionalFormatting sqref="N8">
    <cfRule type="cellIs" priority="328" dxfId="394" operator="greaterThanOrEqual" stopIfTrue="1">
      <formula>N$52</formula>
    </cfRule>
    <cfRule type="cellIs" priority="329" dxfId="394" operator="lessThanOrEqual" stopIfTrue="1">
      <formula>N$54</formula>
    </cfRule>
    <cfRule type="cellIs" priority="330" dxfId="395" operator="greaterThanOrEqual" stopIfTrue="1">
      <formula>N$53</formula>
    </cfRule>
  </conditionalFormatting>
  <conditionalFormatting sqref="N8">
    <cfRule type="cellIs" priority="331" dxfId="394" operator="greaterThan" stopIfTrue="1">
      <formula>0.19</formula>
    </cfRule>
  </conditionalFormatting>
  <conditionalFormatting sqref="O10">
    <cfRule type="cellIs" priority="319" dxfId="402" operator="lessThan">
      <formula>0</formula>
    </cfRule>
  </conditionalFormatting>
  <conditionalFormatting sqref="M10">
    <cfRule type="cellIs" priority="320" dxfId="7" operator="greaterThanOrEqual" stopIfTrue="1">
      <formula>0.5</formula>
    </cfRule>
    <cfRule type="cellIs" priority="321" dxfId="3" operator="lessThan" stopIfTrue="1">
      <formula>0.0001</formula>
    </cfRule>
    <cfRule type="cellIs" priority="322" dxfId="2" operator="greaterThanOrEqual" stopIfTrue="1">
      <formula>0.0001</formula>
    </cfRule>
  </conditionalFormatting>
  <conditionalFormatting sqref="N10">
    <cfRule type="cellIs" priority="315" dxfId="394" operator="greaterThanOrEqual" stopIfTrue="1">
      <formula>N$52</formula>
    </cfRule>
    <cfRule type="cellIs" priority="316" dxfId="394" operator="lessThanOrEqual" stopIfTrue="1">
      <formula>N$54</formula>
    </cfRule>
    <cfRule type="cellIs" priority="317" dxfId="395" operator="greaterThanOrEqual" stopIfTrue="1">
      <formula>N$53</formula>
    </cfRule>
  </conditionalFormatting>
  <conditionalFormatting sqref="N10">
    <cfRule type="cellIs" priority="318" dxfId="394" operator="greaterThan" stopIfTrue="1">
      <formula>0.19</formula>
    </cfRule>
  </conditionalFormatting>
  <conditionalFormatting sqref="O28">
    <cfRule type="cellIs" priority="224" dxfId="402" operator="lessThan">
      <formula>0</formula>
    </cfRule>
  </conditionalFormatting>
  <conditionalFormatting sqref="M28">
    <cfRule type="cellIs" priority="225" dxfId="7" operator="greaterThanOrEqual" stopIfTrue="1">
      <formula>0.5</formula>
    </cfRule>
    <cfRule type="cellIs" priority="226" dxfId="3" operator="lessThan" stopIfTrue="1">
      <formula>0.0001</formula>
    </cfRule>
    <cfRule type="cellIs" priority="227" dxfId="2" operator="greaterThanOrEqual" stopIfTrue="1">
      <formula>0.0001</formula>
    </cfRule>
  </conditionalFormatting>
  <conditionalFormatting sqref="N28">
    <cfRule type="cellIs" priority="223" dxfId="394" operator="greaterThan" stopIfTrue="1">
      <formula>0.19</formula>
    </cfRule>
  </conditionalFormatting>
  <conditionalFormatting sqref="N28">
    <cfRule type="cellIs" priority="220" dxfId="394" operator="greaterThanOrEqual" stopIfTrue="1">
      <formula>N$52</formula>
    </cfRule>
    <cfRule type="cellIs" priority="221" dxfId="394" operator="lessThanOrEqual" stopIfTrue="1">
      <formula>N$54</formula>
    </cfRule>
    <cfRule type="cellIs" priority="222" dxfId="395" operator="greaterThanOrEqual" stopIfTrue="1">
      <formula>N$53</formula>
    </cfRule>
  </conditionalFormatting>
  <conditionalFormatting sqref="O30">
    <cfRule type="cellIs" priority="206" dxfId="402" operator="lessThan">
      <formula>0</formula>
    </cfRule>
  </conditionalFormatting>
  <conditionalFormatting sqref="M30">
    <cfRule type="cellIs" priority="207" dxfId="7" operator="greaterThanOrEqual" stopIfTrue="1">
      <formula>0.5</formula>
    </cfRule>
    <cfRule type="cellIs" priority="208" dxfId="3" operator="lessThan" stopIfTrue="1">
      <formula>0.0001</formula>
    </cfRule>
    <cfRule type="cellIs" priority="209" dxfId="2" operator="greaterThanOrEqual" stopIfTrue="1">
      <formula>0.0001</formula>
    </cfRule>
  </conditionalFormatting>
  <conditionalFormatting sqref="N43">
    <cfRule type="cellIs" priority="189" dxfId="394" operator="greaterThan" stopIfTrue="1">
      <formula>0.19</formula>
    </cfRule>
  </conditionalFormatting>
  <conditionalFormatting sqref="N31">
    <cfRule type="cellIs" priority="180" dxfId="394" operator="greaterThan" stopIfTrue="1">
      <formula>0.19</formula>
    </cfRule>
  </conditionalFormatting>
  <conditionalFormatting sqref="C31">
    <cfRule type="cellIs" priority="179" dxfId="575" operator="greaterThanOrEqual" stopIfTrue="1">
      <formula>0.3</formula>
    </cfRule>
  </conditionalFormatting>
  <conditionalFormatting sqref="N5">
    <cfRule type="cellIs" priority="178" dxfId="394" operator="greaterThan" stopIfTrue="1">
      <formula>0.19</formula>
    </cfRule>
  </conditionalFormatting>
  <conditionalFormatting sqref="C5">
    <cfRule type="cellIs" priority="177" dxfId="575" operator="greaterThanOrEqual" stopIfTrue="1">
      <formula>0.3</formula>
    </cfRule>
  </conditionalFormatting>
  <conditionalFormatting sqref="N17">
    <cfRule type="cellIs" priority="176" dxfId="394" operator="greaterThan" stopIfTrue="1">
      <formula>0.19</formula>
    </cfRule>
  </conditionalFormatting>
  <conditionalFormatting sqref="C17">
    <cfRule type="cellIs" priority="175" dxfId="575" operator="greaterThanOrEqual" stopIfTrue="1">
      <formula>0.3</formula>
    </cfRule>
  </conditionalFormatting>
  <conditionalFormatting sqref="N46:N47">
    <cfRule type="cellIs" priority="174" dxfId="394" operator="greaterThan" stopIfTrue="1">
      <formula>0.19</formula>
    </cfRule>
  </conditionalFormatting>
  <conditionalFormatting sqref="C46:C47">
    <cfRule type="cellIs" priority="173" dxfId="575" operator="greaterThanOrEqual" stopIfTrue="1">
      <formula>0.3</formula>
    </cfRule>
  </conditionalFormatting>
  <conditionalFormatting sqref="O46:O47">
    <cfRule type="cellIs" priority="169" dxfId="402" operator="lessThan">
      <formula>0</formula>
    </cfRule>
  </conditionalFormatting>
  <conditionalFormatting sqref="M46:M47">
    <cfRule type="cellIs" priority="170" dxfId="7" operator="greaterThanOrEqual" stopIfTrue="1">
      <formula>0.5</formula>
    </cfRule>
    <cfRule type="cellIs" priority="171" dxfId="3" operator="lessThan" stopIfTrue="1">
      <formula>0.0001</formula>
    </cfRule>
    <cfRule type="cellIs" priority="172" dxfId="2" operator="greaterThanOrEqual" stopIfTrue="1">
      <formula>0.0001</formula>
    </cfRule>
  </conditionalFormatting>
  <conditionalFormatting sqref="N37">
    <cfRule type="cellIs" priority="165" dxfId="394" operator="greaterThan" stopIfTrue="1">
      <formula>0.19</formula>
    </cfRule>
  </conditionalFormatting>
  <conditionalFormatting sqref="M38">
    <cfRule type="cellIs" priority="166" dxfId="7" operator="greaterThanOrEqual" stopIfTrue="1">
      <formula>0.5</formula>
    </cfRule>
    <cfRule type="cellIs" priority="167" dxfId="3" operator="lessThan" stopIfTrue="1">
      <formula>0.0001</formula>
    </cfRule>
    <cfRule type="cellIs" priority="168" dxfId="2" operator="greaterThanOrEqual" stopIfTrue="1">
      <formula>0.0001</formula>
    </cfRule>
  </conditionalFormatting>
  <conditionalFormatting sqref="O38">
    <cfRule type="cellIs" priority="160" dxfId="402" operator="lessThan">
      <formula>0</formula>
    </cfRule>
  </conditionalFormatting>
  <conditionalFormatting sqref="N44">
    <cfRule type="cellIs" priority="159" dxfId="394" operator="greaterThan" stopIfTrue="1">
      <formula>0.19</formula>
    </cfRule>
  </conditionalFormatting>
  <conditionalFormatting sqref="N44">
    <cfRule type="cellIs" priority="153" dxfId="394" operator="greaterThanOrEqual" stopIfTrue="1">
      <formula>N$52</formula>
    </cfRule>
    <cfRule type="cellIs" priority="154" dxfId="394" operator="lessThanOrEqual" stopIfTrue="1">
      <formula>N$54</formula>
    </cfRule>
    <cfRule type="cellIs" priority="155" dxfId="395" operator="greaterThanOrEqual" stopIfTrue="1">
      <formula>N$53</formula>
    </cfRule>
  </conditionalFormatting>
  <conditionalFormatting sqref="O44">
    <cfRule type="cellIs" priority="152" dxfId="402" operator="lessThan">
      <formula>0</formula>
    </cfRule>
  </conditionalFormatting>
  <conditionalFormatting sqref="M44">
    <cfRule type="cellIs" priority="156" dxfId="7" operator="greaterThanOrEqual" stopIfTrue="1">
      <formula>0.5</formula>
    </cfRule>
    <cfRule type="cellIs" priority="157" dxfId="3" operator="lessThan" stopIfTrue="1">
      <formula>0.0001</formula>
    </cfRule>
    <cfRule type="cellIs" priority="158" dxfId="2" operator="greaterThanOrEqual" stopIfTrue="1">
      <formula>0.0001</formula>
    </cfRule>
  </conditionalFormatting>
  <conditionalFormatting sqref="N23">
    <cfRule type="cellIs" priority="135" dxfId="394" operator="greaterThan" stopIfTrue="1">
      <formula>0.19</formula>
    </cfRule>
  </conditionalFormatting>
  <conditionalFormatting sqref="N22">
    <cfRule type="cellIs" priority="134" dxfId="394" operator="greaterThan" stopIfTrue="1">
      <formula>0.19</formula>
    </cfRule>
  </conditionalFormatting>
  <conditionalFormatting sqref="N22">
    <cfRule type="cellIs" priority="128" dxfId="394" operator="greaterThanOrEqual" stopIfTrue="1">
      <formula>N$52</formula>
    </cfRule>
    <cfRule type="cellIs" priority="129" dxfId="394" operator="lessThanOrEqual" stopIfTrue="1">
      <formula>N$54</formula>
    </cfRule>
    <cfRule type="cellIs" priority="130" dxfId="395" operator="greaterThanOrEqual" stopIfTrue="1">
      <formula>N$53</formula>
    </cfRule>
  </conditionalFormatting>
  <conditionalFormatting sqref="O22">
    <cfRule type="cellIs" priority="127" dxfId="402" operator="lessThan">
      <formula>0</formula>
    </cfRule>
  </conditionalFormatting>
  <conditionalFormatting sqref="M22">
    <cfRule type="cellIs" priority="116" dxfId="7" operator="greaterThanOrEqual" stopIfTrue="1">
      <formula>0.5</formula>
    </cfRule>
    <cfRule type="cellIs" priority="117" dxfId="3" operator="lessThan" stopIfTrue="1">
      <formula>0.0001</formula>
    </cfRule>
    <cfRule type="cellIs" priority="118" dxfId="2" operator="greaterThanOrEqual" stopIfTrue="1">
      <formula>0.0001</formula>
    </cfRule>
  </conditionalFormatting>
  <conditionalFormatting sqref="O18">
    <cfRule type="cellIs" priority="112" dxfId="402" operator="lessThan">
      <formula>0</formula>
    </cfRule>
  </conditionalFormatting>
  <conditionalFormatting sqref="M18">
    <cfRule type="cellIs" priority="113" dxfId="7" operator="greaterThanOrEqual" stopIfTrue="1">
      <formula>0.5</formula>
    </cfRule>
    <cfRule type="cellIs" priority="114" dxfId="3" operator="lessThan" stopIfTrue="1">
      <formula>0.0001</formula>
    </cfRule>
    <cfRule type="cellIs" priority="115" dxfId="2" operator="greaterThanOrEqual" stopIfTrue="1">
      <formula>0.0001</formula>
    </cfRule>
  </conditionalFormatting>
  <conditionalFormatting sqref="N40">
    <cfRule type="cellIs" priority="106" dxfId="402" operator="lessThan">
      <formula>0</formula>
    </cfRule>
  </conditionalFormatting>
  <conditionalFormatting sqref="C18">
    <cfRule type="cellIs" priority="105" dxfId="575" operator="greaterThanOrEqual" stopIfTrue="1">
      <formula>0.3</formula>
    </cfRule>
  </conditionalFormatting>
  <conditionalFormatting sqref="C22">
    <cfRule type="cellIs" priority="104" dxfId="575" operator="greaterThanOrEqual" stopIfTrue="1">
      <formula>0.3</formula>
    </cfRule>
  </conditionalFormatting>
  <conditionalFormatting sqref="C30">
    <cfRule type="cellIs" priority="103" dxfId="575" operator="greaterThanOrEqual" stopIfTrue="1">
      <formula>0.3</formula>
    </cfRule>
  </conditionalFormatting>
  <conditionalFormatting sqref="C38">
    <cfRule type="cellIs" priority="102" dxfId="575" operator="greaterThanOrEqual" stopIfTrue="1">
      <formula>0.3</formula>
    </cfRule>
  </conditionalFormatting>
  <conditionalFormatting sqref="C40">
    <cfRule type="cellIs" priority="101" dxfId="575" operator="greaterThanOrEqual" stopIfTrue="1">
      <formula>0.3</formula>
    </cfRule>
  </conditionalFormatting>
  <conditionalFormatting sqref="C42">
    <cfRule type="cellIs" priority="100" dxfId="575" operator="greaterThanOrEqual" stopIfTrue="1">
      <formula>0.3</formula>
    </cfRule>
  </conditionalFormatting>
  <conditionalFormatting sqref="C6">
    <cfRule type="cellIs" priority="98" dxfId="575" operator="greaterThanOrEqual" stopIfTrue="1">
      <formula>0.3</formula>
    </cfRule>
  </conditionalFormatting>
  <conditionalFormatting sqref="C32">
    <cfRule type="cellIs" priority="97" dxfId="575" operator="greaterThanOrEqual" stopIfTrue="1">
      <formula>0.3</formula>
    </cfRule>
  </conditionalFormatting>
  <conditionalFormatting sqref="C4">
    <cfRule type="cellIs" priority="96" dxfId="575" operator="greaterThanOrEqual" stopIfTrue="1">
      <formula>0.3</formula>
    </cfRule>
  </conditionalFormatting>
  <conditionalFormatting sqref="C48">
    <cfRule type="cellIs" priority="95" dxfId="575" operator="greaterThanOrEqual" stopIfTrue="1">
      <formula>0.3</formula>
    </cfRule>
  </conditionalFormatting>
  <conditionalFormatting sqref="C50">
    <cfRule type="cellIs" priority="94" dxfId="575" operator="greaterThanOrEqual" stopIfTrue="1">
      <formula>0.3</formula>
    </cfRule>
  </conditionalFormatting>
  <conditionalFormatting sqref="N42">
    <cfRule type="cellIs" priority="92" dxfId="394" operator="greaterThan" stopIfTrue="1">
      <formula>0.19</formula>
    </cfRule>
  </conditionalFormatting>
  <conditionalFormatting sqref="N42">
    <cfRule type="cellIs" priority="86" dxfId="394" operator="greaterThanOrEqual" stopIfTrue="1">
      <formula>N$52</formula>
    </cfRule>
    <cfRule type="cellIs" priority="87" dxfId="394" operator="lessThanOrEqual" stopIfTrue="1">
      <formula>N$54</formula>
    </cfRule>
    <cfRule type="cellIs" priority="88" dxfId="395" operator="greaterThanOrEqual" stopIfTrue="1">
      <formula>N$53</formula>
    </cfRule>
  </conditionalFormatting>
  <conditionalFormatting sqref="O42">
    <cfRule type="cellIs" priority="85" dxfId="402" operator="lessThan">
      <formula>0</formula>
    </cfRule>
  </conditionalFormatting>
  <conditionalFormatting sqref="M42">
    <cfRule type="cellIs" priority="89" dxfId="7" operator="greaterThanOrEqual" stopIfTrue="1">
      <formula>0.5</formula>
    </cfRule>
    <cfRule type="cellIs" priority="90" dxfId="3" operator="lessThan" stopIfTrue="1">
      <formula>0.0001</formula>
    </cfRule>
    <cfRule type="cellIs" priority="91" dxfId="2" operator="greaterThanOrEqual" stopIfTrue="1">
      <formula>0.0001</formula>
    </cfRule>
  </conditionalFormatting>
  <conditionalFormatting sqref="N38">
    <cfRule type="cellIs" priority="67" dxfId="402" operator="lessThan">
      <formula>0</formula>
    </cfRule>
  </conditionalFormatting>
  <conditionalFormatting sqref="N12">
    <cfRule type="cellIs" priority="70" dxfId="394" operator="greaterThanOrEqual" stopIfTrue="1">
      <formula>N$52</formula>
    </cfRule>
    <cfRule type="cellIs" priority="71" dxfId="394" operator="lessThanOrEqual" stopIfTrue="1">
      <formula>N$54</formula>
    </cfRule>
    <cfRule type="cellIs" priority="72" dxfId="395" operator="greaterThanOrEqual" stopIfTrue="1">
      <formula>N$53</formula>
    </cfRule>
  </conditionalFormatting>
  <conditionalFormatting sqref="N11">
    <cfRule type="cellIs" priority="73" dxfId="394" operator="greaterThan" stopIfTrue="1">
      <formula>0.19</formula>
    </cfRule>
  </conditionalFormatting>
  <conditionalFormatting sqref="M12">
    <cfRule type="cellIs" priority="74" dxfId="7" operator="greaterThanOrEqual" stopIfTrue="1">
      <formula>0.5</formula>
    </cfRule>
    <cfRule type="cellIs" priority="75" dxfId="3" operator="lessThan" stopIfTrue="1">
      <formula>0.0001</formula>
    </cfRule>
    <cfRule type="cellIs" priority="76" dxfId="2" operator="greaterThanOrEqual" stopIfTrue="1">
      <formula>0.0001</formula>
    </cfRule>
  </conditionalFormatting>
  <conditionalFormatting sqref="O12">
    <cfRule type="cellIs" priority="69" dxfId="402" operator="lessThan">
      <formula>0</formula>
    </cfRule>
  </conditionalFormatting>
  <conditionalFormatting sqref="C12">
    <cfRule type="cellIs" priority="68" dxfId="575" operator="greaterThanOrEqual" stopIfTrue="1">
      <formula>0.3</formula>
    </cfRule>
  </conditionalFormatting>
  <conditionalFormatting sqref="N18">
    <cfRule type="cellIs" priority="66" dxfId="394" operator="greaterThan" stopIfTrue="1">
      <formula>0.19</formula>
    </cfRule>
  </conditionalFormatting>
  <conditionalFormatting sqref="N14">
    <cfRule type="cellIs" priority="59" dxfId="394" operator="greaterThanOrEqual" stopIfTrue="1">
      <formula>N$52</formula>
    </cfRule>
    <cfRule type="cellIs" priority="60" dxfId="394" operator="lessThanOrEqual" stopIfTrue="1">
      <formula>N$54</formula>
    </cfRule>
    <cfRule type="cellIs" priority="61" dxfId="395" operator="greaterThanOrEqual" stopIfTrue="1">
      <formula>N$53</formula>
    </cfRule>
  </conditionalFormatting>
  <conditionalFormatting sqref="N13">
    <cfRule type="cellIs" priority="62" dxfId="394" operator="greaterThan" stopIfTrue="1">
      <formula>0.19</formula>
    </cfRule>
  </conditionalFormatting>
  <conditionalFormatting sqref="M14">
    <cfRule type="cellIs" priority="63" dxfId="7" operator="greaterThanOrEqual" stopIfTrue="1">
      <formula>0.5</formula>
    </cfRule>
    <cfRule type="cellIs" priority="64" dxfId="3" operator="lessThan" stopIfTrue="1">
      <formula>0.0001</formula>
    </cfRule>
    <cfRule type="cellIs" priority="65" dxfId="2" operator="greaterThanOrEqual" stopIfTrue="1">
      <formula>0.0001</formula>
    </cfRule>
  </conditionalFormatting>
  <conditionalFormatting sqref="O14">
    <cfRule type="cellIs" priority="58" dxfId="402" operator="lessThan">
      <formula>0</formula>
    </cfRule>
  </conditionalFormatting>
  <conditionalFormatting sqref="C14">
    <cfRule type="cellIs" priority="57" dxfId="575" operator="greaterThanOrEqual" stopIfTrue="1">
      <formula>0.3</formula>
    </cfRule>
  </conditionalFormatting>
  <conditionalFormatting sqref="N36">
    <cfRule type="cellIs" priority="51" dxfId="394" operator="greaterThanOrEqual" stopIfTrue="1">
      <formula>N$52</formula>
    </cfRule>
    <cfRule type="cellIs" priority="52" dxfId="394" operator="lessThanOrEqual" stopIfTrue="1">
      <formula>N$54</formula>
    </cfRule>
    <cfRule type="cellIs" priority="53" dxfId="395" operator="greaterThanOrEqual" stopIfTrue="1">
      <formula>N$53</formula>
    </cfRule>
  </conditionalFormatting>
  <conditionalFormatting sqref="M36">
    <cfRule type="cellIs" priority="54" dxfId="7" operator="greaterThanOrEqual" stopIfTrue="1">
      <formula>0.5</formula>
    </cfRule>
    <cfRule type="cellIs" priority="55" dxfId="3" operator="lessThan" stopIfTrue="1">
      <formula>0.0001</formula>
    </cfRule>
    <cfRule type="cellIs" priority="56" dxfId="2" operator="greaterThanOrEqual" stopIfTrue="1">
      <formula>0.0001</formula>
    </cfRule>
  </conditionalFormatting>
  <conditionalFormatting sqref="O36">
    <cfRule type="cellIs" priority="50" dxfId="402" operator="lessThan">
      <formula>0</formula>
    </cfRule>
  </conditionalFormatting>
  <conditionalFormatting sqref="N16">
    <cfRule type="cellIs" priority="41" dxfId="394" operator="greaterThanOrEqual" stopIfTrue="1">
      <formula>N$52</formula>
    </cfRule>
    <cfRule type="cellIs" priority="42" dxfId="394" operator="lessThanOrEqual" stopIfTrue="1">
      <formula>N$54</formula>
    </cfRule>
    <cfRule type="cellIs" priority="43" dxfId="395" operator="greaterThanOrEqual" stopIfTrue="1">
      <formula>N$53</formula>
    </cfRule>
  </conditionalFormatting>
  <conditionalFormatting sqref="N15">
    <cfRule type="cellIs" priority="44" dxfId="394" operator="greaterThan" stopIfTrue="1">
      <formula>0.19</formula>
    </cfRule>
  </conditionalFormatting>
  <conditionalFormatting sqref="M16">
    <cfRule type="cellIs" priority="45" dxfId="7" operator="greaterThanOrEqual" stopIfTrue="1">
      <formula>0.5</formula>
    </cfRule>
    <cfRule type="cellIs" priority="46" dxfId="3" operator="lessThan" stopIfTrue="1">
      <formula>0.0001</formula>
    </cfRule>
    <cfRule type="cellIs" priority="47" dxfId="2" operator="greaterThanOrEqual" stopIfTrue="1">
      <formula>0.0001</formula>
    </cfRule>
  </conditionalFormatting>
  <conditionalFormatting sqref="O16">
    <cfRule type="cellIs" priority="40" dxfId="402" operator="lessThan">
      <formula>0</formula>
    </cfRule>
  </conditionalFormatting>
  <conditionalFormatting sqref="C16">
    <cfRule type="cellIs" priority="39" dxfId="575" operator="greaterThanOrEqual" stopIfTrue="1">
      <formula>0.3</formula>
    </cfRule>
  </conditionalFormatting>
  <conditionalFormatting sqref="N34">
    <cfRule type="cellIs" priority="32" dxfId="394" operator="greaterThanOrEqual" stopIfTrue="1">
      <formula>N$52</formula>
    </cfRule>
    <cfRule type="cellIs" priority="33" dxfId="394" operator="lessThanOrEqual" stopIfTrue="1">
      <formula>N$54</formula>
    </cfRule>
    <cfRule type="cellIs" priority="34" dxfId="395" operator="greaterThanOrEqual" stopIfTrue="1">
      <formula>N$53</formula>
    </cfRule>
  </conditionalFormatting>
  <conditionalFormatting sqref="M34">
    <cfRule type="cellIs" priority="35" dxfId="7" operator="greaterThanOrEqual" stopIfTrue="1">
      <formula>0.5</formula>
    </cfRule>
    <cfRule type="cellIs" priority="36" dxfId="3" operator="lessThan" stopIfTrue="1">
      <formula>0.0001</formula>
    </cfRule>
    <cfRule type="cellIs" priority="37" dxfId="2" operator="greaterThanOrEqual" stopIfTrue="1">
      <formula>0.0001</formula>
    </cfRule>
  </conditionalFormatting>
  <conditionalFormatting sqref="O34">
    <cfRule type="cellIs" priority="31" dxfId="402" operator="lessThan">
      <formula>0</formula>
    </cfRule>
  </conditionalFormatting>
  <conditionalFormatting sqref="N35">
    <cfRule type="cellIs" priority="30" dxfId="394" operator="greaterThan" stopIfTrue="1">
      <formula>0.19</formula>
    </cfRule>
  </conditionalFormatting>
  <conditionalFormatting sqref="O24">
    <cfRule type="cellIs" priority="26" dxfId="402" operator="lessThan">
      <formula>0</formula>
    </cfRule>
  </conditionalFormatting>
  <conditionalFormatting sqref="M24">
    <cfRule type="cellIs" priority="27" dxfId="7" operator="greaterThanOrEqual" stopIfTrue="1">
      <formula>0.5</formula>
    </cfRule>
    <cfRule type="cellIs" priority="28" dxfId="3" operator="lessThan" stopIfTrue="1">
      <formula>0.0001</formula>
    </cfRule>
    <cfRule type="cellIs" priority="29" dxfId="2" operator="greaterThanOrEqual" stopIfTrue="1">
      <formula>0.0001</formula>
    </cfRule>
  </conditionalFormatting>
  <conditionalFormatting sqref="N24">
    <cfRule type="cellIs" priority="25" dxfId="394" operator="greaterThan" stopIfTrue="1">
      <formula>0.19</formula>
    </cfRule>
  </conditionalFormatting>
  <conditionalFormatting sqref="N24">
    <cfRule type="cellIs" priority="22" dxfId="394" operator="greaterThanOrEqual" stopIfTrue="1">
      <formula>N$52</formula>
    </cfRule>
    <cfRule type="cellIs" priority="23" dxfId="394" operator="lessThanOrEqual" stopIfTrue="1">
      <formula>N$54</formula>
    </cfRule>
    <cfRule type="cellIs" priority="24" dxfId="395" operator="greaterThanOrEqual" stopIfTrue="1">
      <formula>N$53</formula>
    </cfRule>
  </conditionalFormatting>
  <conditionalFormatting sqref="N25">
    <cfRule type="cellIs" priority="21" dxfId="394" operator="greaterThan" stopIfTrue="1">
      <formula>0.19</formula>
    </cfRule>
  </conditionalFormatting>
  <conditionalFormatting sqref="C24">
    <cfRule type="cellIs" priority="20" dxfId="575" operator="greaterThanOrEqual" stopIfTrue="1">
      <formula>0.3</formula>
    </cfRule>
  </conditionalFormatting>
  <conditionalFormatting sqref="N32">
    <cfRule type="cellIs" priority="13" dxfId="394" operator="greaterThanOrEqual" stopIfTrue="1">
      <formula>N$52</formula>
    </cfRule>
    <cfRule type="cellIs" priority="14" dxfId="394" operator="lessThanOrEqual" stopIfTrue="1">
      <formula>N$54</formula>
    </cfRule>
    <cfRule type="cellIs" priority="15" dxfId="395" operator="greaterThanOrEqual" stopIfTrue="1">
      <formula>N$53</formula>
    </cfRule>
  </conditionalFormatting>
  <conditionalFormatting sqref="M32">
    <cfRule type="cellIs" priority="16" dxfId="7" operator="greaterThanOrEqual" stopIfTrue="1">
      <formula>0.5</formula>
    </cfRule>
    <cfRule type="cellIs" priority="17" dxfId="3" operator="lessThan" stopIfTrue="1">
      <formula>0.0001</formula>
    </cfRule>
    <cfRule type="cellIs" priority="18" dxfId="2" operator="greaterThanOrEqual" stopIfTrue="1">
      <formula>0.0001</formula>
    </cfRule>
  </conditionalFormatting>
  <conditionalFormatting sqref="O32">
    <cfRule type="cellIs" priority="12" dxfId="402" operator="lessThan">
      <formula>0</formula>
    </cfRule>
  </conditionalFormatting>
  <conditionalFormatting sqref="N33">
    <cfRule type="cellIs" priority="11" dxfId="394" operator="greaterThan" stopIfTrue="1">
      <formula>0.19</formula>
    </cfRule>
  </conditionalFormatting>
  <conditionalFormatting sqref="O26">
    <cfRule type="cellIs" priority="7" dxfId="402" operator="lessThan">
      <formula>0</formula>
    </cfRule>
  </conditionalFormatting>
  <conditionalFormatting sqref="M26">
    <cfRule type="cellIs" priority="8" dxfId="7" operator="greaterThanOrEqual" stopIfTrue="1">
      <formula>0.5</formula>
    </cfRule>
    <cfRule type="cellIs" priority="9" dxfId="3" operator="lessThan" stopIfTrue="1">
      <formula>0.0001</formula>
    </cfRule>
    <cfRule type="cellIs" priority="10" dxfId="2" operator="greaterThanOrEqual" stopIfTrue="1">
      <formula>0.0001</formula>
    </cfRule>
  </conditionalFormatting>
  <conditionalFormatting sqref="N26">
    <cfRule type="cellIs" priority="6" dxfId="394" operator="greaterThan" stopIfTrue="1">
      <formula>0.19</formula>
    </cfRule>
  </conditionalFormatting>
  <conditionalFormatting sqref="N26">
    <cfRule type="cellIs" priority="3" dxfId="394" operator="greaterThanOrEqual" stopIfTrue="1">
      <formula>N$52</formula>
    </cfRule>
    <cfRule type="cellIs" priority="4" dxfId="394" operator="lessThanOrEqual" stopIfTrue="1">
      <formula>N$54</formula>
    </cfRule>
    <cfRule type="cellIs" priority="5" dxfId="395" operator="greaterThanOrEqual" stopIfTrue="1">
      <formula>N$53</formula>
    </cfRule>
  </conditionalFormatting>
  <conditionalFormatting sqref="N27">
    <cfRule type="cellIs" priority="2" dxfId="394" operator="greaterThan" stopIfTrue="1">
      <formula>0.19</formula>
    </cfRule>
  </conditionalFormatting>
  <conditionalFormatting sqref="C26">
    <cfRule type="cellIs" priority="1" dxfId="575" operator="greaterThanOrEqual" stopIfTrue="1">
      <formula>0.3</formula>
    </cfRule>
  </conditionalFormatting>
  <printOptions/>
  <pageMargins left="0.48" right="0.41" top="0.42" bottom="0.34" header="0.28" footer="0.12"/>
  <pageSetup horizontalDpi="600" verticalDpi="600" orientation="landscape" scale="95" r:id="rId4"/>
  <headerFooter alignWithMargins="0">
    <oddFooter>&amp;C&amp;P of &amp;N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0">
    <tabColor indexed="47"/>
  </sheetPr>
  <dimension ref="A1:L8"/>
  <sheetViews>
    <sheetView zoomScalePageLayoutView="0" workbookViewId="0" topLeftCell="A1">
      <selection activeCell="E8" sqref="E8"/>
    </sheetView>
  </sheetViews>
  <sheetFormatPr defaultColWidth="9.140625" defaultRowHeight="12.75"/>
  <cols>
    <col min="4" max="4" width="10.00390625" style="0" bestFit="1" customWidth="1"/>
    <col min="5" max="5" width="9.7109375" style="0" bestFit="1" customWidth="1"/>
    <col min="6" max="6" width="10.00390625" style="0" bestFit="1" customWidth="1"/>
  </cols>
  <sheetData>
    <row r="1" spans="1:11" ht="13.5" thickBot="1">
      <c r="A1" s="16" t="s">
        <v>8</v>
      </c>
      <c r="B1" s="65" t="s">
        <v>4</v>
      </c>
      <c r="C1" s="18" t="s">
        <v>9</v>
      </c>
      <c r="D1" s="74" t="s">
        <v>10</v>
      </c>
      <c r="E1" s="75" t="s">
        <v>11</v>
      </c>
      <c r="F1" s="76" t="s">
        <v>12</v>
      </c>
      <c r="G1" s="77" t="s">
        <v>13</v>
      </c>
      <c r="H1" s="78" t="s">
        <v>14</v>
      </c>
      <c r="I1" s="79" t="s">
        <v>15</v>
      </c>
      <c r="J1" s="80" t="s">
        <v>16</v>
      </c>
      <c r="K1" s="69" t="s">
        <v>29</v>
      </c>
    </row>
    <row r="2" spans="1:12" ht="14.25">
      <c r="A2" s="25" t="s">
        <v>73</v>
      </c>
      <c r="B2" s="27"/>
      <c r="C2" s="10"/>
      <c r="D2" s="34"/>
      <c r="E2" s="35"/>
      <c r="F2" s="36"/>
      <c r="G2" s="81"/>
      <c r="H2" s="64"/>
      <c r="I2" s="38"/>
      <c r="J2" s="39"/>
      <c r="K2" s="82"/>
      <c r="L2" s="73"/>
    </row>
    <row r="3" spans="1:12" ht="12.75">
      <c r="A3" s="8"/>
      <c r="B3" s="27">
        <v>42417</v>
      </c>
      <c r="C3" s="113" t="s">
        <v>74</v>
      </c>
      <c r="D3" s="128">
        <v>6.40536</v>
      </c>
      <c r="E3" s="35">
        <v>550.86</v>
      </c>
      <c r="F3" s="36">
        <f>E3/D3</f>
        <v>85.99985012551988</v>
      </c>
      <c r="G3" s="37">
        <f>VLOOKUP(C3,'Stock Prices'!$B$5:$D$18,3,FALSE)</f>
        <v>117.67</v>
      </c>
      <c r="H3" s="64">
        <f>G3*D3</f>
        <v>753.7187112</v>
      </c>
      <c r="I3" s="38">
        <f>H3-E3</f>
        <v>202.85871120000002</v>
      </c>
      <c r="J3" s="39">
        <f>I3/E3</f>
        <v>0.3682581984533275</v>
      </c>
      <c r="K3" s="72">
        <f>(($H3/$E3)^(365/(TODAY()-$B3)))-1</f>
        <v>0.2144582327742537</v>
      </c>
      <c r="L3" s="73"/>
    </row>
    <row r="4" spans="1:12" ht="12.75">
      <c r="A4" s="8"/>
      <c r="B4" s="27">
        <v>42446</v>
      </c>
      <c r="C4" s="113" t="s">
        <v>74</v>
      </c>
      <c r="D4" s="128">
        <v>5.97184</v>
      </c>
      <c r="E4" s="35">
        <v>536</v>
      </c>
      <c r="F4" s="36">
        <f>E4/D4</f>
        <v>89.75458150251848</v>
      </c>
      <c r="G4" s="37">
        <f>VLOOKUP(C4,'Stock Prices'!$B$5:$D$18,3,FALSE)</f>
        <v>117.67</v>
      </c>
      <c r="H4" s="64">
        <f>G4*D4</f>
        <v>702.7064128000001</v>
      </c>
      <c r="I4" s="38">
        <f>H4-E4</f>
        <v>166.70641280000007</v>
      </c>
      <c r="J4" s="39">
        <f>I4/E4</f>
        <v>0.31101942686567174</v>
      </c>
      <c r="K4" s="72">
        <f>(($H4/$E4)^(365/(TODAY()-$B4)))-1</f>
        <v>0.19304259354579534</v>
      </c>
      <c r="L4" s="73"/>
    </row>
    <row r="5" spans="1:12" ht="12.75">
      <c r="A5" s="8"/>
      <c r="B5" s="27">
        <v>42510</v>
      </c>
      <c r="C5" s="113" t="s">
        <v>74</v>
      </c>
      <c r="D5" s="128">
        <v>11.02179</v>
      </c>
      <c r="E5" s="35">
        <v>870.72</v>
      </c>
      <c r="F5" s="36">
        <f>E5/D5</f>
        <v>78.99987207159636</v>
      </c>
      <c r="G5" s="37">
        <f>VLOOKUP(C5,'Stock Prices'!$B$5:$D$18,3,FALSE)</f>
        <v>117.67</v>
      </c>
      <c r="H5" s="64">
        <f>G5*D5</f>
        <v>1296.9340293</v>
      </c>
      <c r="I5" s="38">
        <f>H5-E5</f>
        <v>426.2140293</v>
      </c>
      <c r="J5" s="39">
        <f>I5/E5</f>
        <v>0.4894960828969129</v>
      </c>
      <c r="K5" s="72">
        <f>(($H5/$E5)^(365/(TODAY()-$B5)))-1</f>
        <v>0.34071798813882537</v>
      </c>
      <c r="L5" s="73"/>
    </row>
    <row r="6" spans="1:12" ht="12.75">
      <c r="A6" s="8"/>
      <c r="B6" s="27">
        <v>42601</v>
      </c>
      <c r="C6" s="113" t="s">
        <v>74</v>
      </c>
      <c r="D6" s="129">
        <v>13.96294</v>
      </c>
      <c r="E6" s="40">
        <v>1156.91</v>
      </c>
      <c r="F6" s="41">
        <f>E6/D6</f>
        <v>82.85575960363649</v>
      </c>
      <c r="G6" s="37">
        <f>VLOOKUP(C6,'Stock Prices'!$B$5:$D$18,3,FALSE)</f>
        <v>117.67</v>
      </c>
      <c r="H6" s="63">
        <f>G6*D6</f>
        <v>1643.0191498</v>
      </c>
      <c r="I6" s="42">
        <f>H6-E6</f>
        <v>486.10914979999984</v>
      </c>
      <c r="J6" s="43">
        <f>I6/E6</f>
        <v>0.42017888150331467</v>
      </c>
      <c r="K6" s="101">
        <f>(($H6/$E6)^(365/(TODAY()-$B6)))-1</f>
        <v>0.37181902982289294</v>
      </c>
      <c r="L6" s="73"/>
    </row>
    <row r="7" spans="1:11" ht="15">
      <c r="A7" s="8"/>
      <c r="B7" s="27">
        <f ca="1">TODAY()</f>
        <v>43006</v>
      </c>
      <c r="C7" s="10"/>
      <c r="D7" s="106">
        <f ca="1">SUM(D3:OFFSET(D7,-1,0))</f>
        <v>37.36193</v>
      </c>
      <c r="E7" s="68">
        <f>-H7</f>
        <v>-4396.3783031</v>
      </c>
      <c r="F7" s="30">
        <f>E8/D7</f>
        <v>83.35998702422494</v>
      </c>
      <c r="G7" s="44">
        <f>G3</f>
        <v>117.67</v>
      </c>
      <c r="H7" s="62">
        <f>D7*G7</f>
        <v>4396.3783031</v>
      </c>
      <c r="I7" s="45">
        <f>H7-E8</f>
        <v>1281.8883031</v>
      </c>
      <c r="J7" s="46">
        <f>I7/E8</f>
        <v>0.4115885114737886</v>
      </c>
      <c r="K7" s="71">
        <f>XIRR(E3:E7,B3:B7)</f>
        <v>0.2917396366596222</v>
      </c>
    </row>
    <row r="8" ht="12.75">
      <c r="E8" s="29">
        <f ca="1">SUM(E3:OFFSET(E8,-2,0))</f>
        <v>3114.4900000000002</v>
      </c>
    </row>
  </sheetData>
  <sheetProtection/>
  <conditionalFormatting sqref="K1:K3 K7">
    <cfRule type="cellIs" priority="33" dxfId="1" operator="greaterThan" stopIfTrue="1">
      <formula>0</formula>
    </cfRule>
    <cfRule type="cellIs" priority="34" dxfId="0" operator="lessThanOrEqual" stopIfTrue="1">
      <formula>0</formula>
    </cfRule>
  </conditionalFormatting>
  <conditionalFormatting sqref="I1:I3 I7">
    <cfRule type="cellIs" priority="35" dxfId="1" operator="greaterThanOrEqual" stopIfTrue="1">
      <formula>0</formula>
    </cfRule>
    <cfRule type="cellIs" priority="36" dxfId="0" operator="lessThan" stopIfTrue="1">
      <formula>0</formula>
    </cfRule>
  </conditionalFormatting>
  <conditionalFormatting sqref="J1:J2">
    <cfRule type="cellIs" priority="37" dxfId="1" operator="greaterThanOrEqual" stopIfTrue="1">
      <formula>0.1</formula>
    </cfRule>
    <cfRule type="cellIs" priority="38" dxfId="3" operator="between" stopIfTrue="1">
      <formula>0</formula>
      <formula>-2</formula>
    </cfRule>
    <cfRule type="cellIs" priority="39" dxfId="2" operator="between" stopIfTrue="1">
      <formula>0</formula>
      <formula>0.1</formula>
    </cfRule>
  </conditionalFormatting>
  <conditionalFormatting sqref="J3 J7">
    <cfRule type="cellIs" priority="40" dxfId="7" operator="greaterThanOrEqual" stopIfTrue="1">
      <formula>0.5</formula>
    </cfRule>
    <cfRule type="cellIs" priority="41" dxfId="3" operator="lessThan" stopIfTrue="1">
      <formula>0.0001</formula>
    </cfRule>
    <cfRule type="cellIs" priority="42" dxfId="2" operator="greaterThanOrEqual" stopIfTrue="1">
      <formula>0.0001</formula>
    </cfRule>
  </conditionalFormatting>
  <conditionalFormatting sqref="J3">
    <cfRule type="cellIs" priority="43" dxfId="2" operator="greaterThanOrEqual" stopIfTrue="1">
      <formula>0.5</formula>
    </cfRule>
    <cfRule type="cellIs" priority="44" dxfId="3" operator="lessThan" stopIfTrue="1">
      <formula>0.0001</formula>
    </cfRule>
    <cfRule type="cellIs" priority="45" dxfId="2" operator="greaterThanOrEqual" stopIfTrue="1">
      <formula>0.0001</formula>
    </cfRule>
  </conditionalFormatting>
  <conditionalFormatting sqref="K4">
    <cfRule type="cellIs" priority="23" dxfId="1" operator="greaterThan" stopIfTrue="1">
      <formula>0</formula>
    </cfRule>
    <cfRule type="cellIs" priority="24" dxfId="0" operator="lessThanOrEqual" stopIfTrue="1">
      <formula>0</formula>
    </cfRule>
  </conditionalFormatting>
  <conditionalFormatting sqref="I4">
    <cfRule type="cellIs" priority="25" dxfId="1" operator="greaterThanOrEqual" stopIfTrue="1">
      <formula>0</formula>
    </cfRule>
    <cfRule type="cellIs" priority="26" dxfId="0" operator="lessThan" stopIfTrue="1">
      <formula>0</formula>
    </cfRule>
  </conditionalFormatting>
  <conditionalFormatting sqref="J4">
    <cfRule type="cellIs" priority="27" dxfId="7" operator="greaterThanOrEqual" stopIfTrue="1">
      <formula>0.5</formula>
    </cfRule>
    <cfRule type="cellIs" priority="28" dxfId="3" operator="lessThan" stopIfTrue="1">
      <formula>0.0001</formula>
    </cfRule>
    <cfRule type="cellIs" priority="29" dxfId="2" operator="greaterThanOrEqual" stopIfTrue="1">
      <formula>0.0001</formula>
    </cfRule>
  </conditionalFormatting>
  <conditionalFormatting sqref="J4">
    <cfRule type="cellIs" priority="30" dxfId="2" operator="greaterThanOrEqual" stopIfTrue="1">
      <formula>0.5</formula>
    </cfRule>
    <cfRule type="cellIs" priority="31" dxfId="3" operator="lessThan" stopIfTrue="1">
      <formula>0.0001</formula>
    </cfRule>
    <cfRule type="cellIs" priority="32" dxfId="2" operator="greaterThanOrEqual" stopIfTrue="1">
      <formula>0.0001</formula>
    </cfRule>
  </conditionalFormatting>
  <conditionalFormatting sqref="I5">
    <cfRule type="cellIs" priority="15" dxfId="1" operator="greaterThanOrEqual" stopIfTrue="1">
      <formula>0</formula>
    </cfRule>
    <cfRule type="cellIs" priority="16" dxfId="0" operator="lessThan" stopIfTrue="1">
      <formula>0</formula>
    </cfRule>
  </conditionalFormatting>
  <conditionalFormatting sqref="J5">
    <cfRule type="cellIs" priority="17" dxfId="7" operator="greaterThanOrEqual" stopIfTrue="1">
      <formula>0.5</formula>
    </cfRule>
    <cfRule type="cellIs" priority="18" dxfId="3" operator="lessThan" stopIfTrue="1">
      <formula>0.0001</formula>
    </cfRule>
    <cfRule type="cellIs" priority="19" dxfId="2" operator="greaterThanOrEqual" stopIfTrue="1">
      <formula>0.0001</formula>
    </cfRule>
  </conditionalFormatting>
  <conditionalFormatting sqref="J5">
    <cfRule type="cellIs" priority="20" dxfId="2" operator="greaterThanOrEqual" stopIfTrue="1">
      <formula>0.5</formula>
    </cfRule>
    <cfRule type="cellIs" priority="21" dxfId="3" operator="lessThan" stopIfTrue="1">
      <formula>0.0001</formula>
    </cfRule>
    <cfRule type="cellIs" priority="22" dxfId="2" operator="greaterThanOrEqual" stopIfTrue="1">
      <formula>0.0001</formula>
    </cfRule>
  </conditionalFormatting>
  <conditionalFormatting sqref="K6">
    <cfRule type="cellIs" priority="3" dxfId="1" operator="greaterThan" stopIfTrue="1">
      <formula>0</formula>
    </cfRule>
    <cfRule type="cellIs" priority="4" dxfId="0" operator="lessThanOrEqual" stopIfTrue="1">
      <formula>0</formula>
    </cfRule>
  </conditionalFormatting>
  <conditionalFormatting sqref="I6">
    <cfRule type="cellIs" priority="5" dxfId="1" operator="greaterThanOrEqual" stopIfTrue="1">
      <formula>0</formula>
    </cfRule>
    <cfRule type="cellIs" priority="6" dxfId="0" operator="lessThan" stopIfTrue="1">
      <formula>0</formula>
    </cfRule>
  </conditionalFormatting>
  <conditionalFormatting sqref="J6">
    <cfRule type="cellIs" priority="7" dxfId="7" operator="greaterThanOrEqual" stopIfTrue="1">
      <formula>0.5</formula>
    </cfRule>
    <cfRule type="cellIs" priority="8" dxfId="3" operator="lessThan" stopIfTrue="1">
      <formula>0.0001</formula>
    </cfRule>
    <cfRule type="cellIs" priority="9" dxfId="2" operator="greaterThanOrEqual" stopIfTrue="1">
      <formula>0.0001</formula>
    </cfRule>
  </conditionalFormatting>
  <conditionalFormatting sqref="J6">
    <cfRule type="cellIs" priority="10" dxfId="2" operator="greaterThanOrEqual" stopIfTrue="1">
      <formula>0.5</formula>
    </cfRule>
    <cfRule type="cellIs" priority="11" dxfId="3" operator="lessThan" stopIfTrue="1">
      <formula>0.0001</formula>
    </cfRule>
    <cfRule type="cellIs" priority="12" dxfId="2" operator="greaterThanOrEqual" stopIfTrue="1">
      <formula>0.0001</formula>
    </cfRule>
  </conditionalFormatting>
  <conditionalFormatting sqref="K5">
    <cfRule type="cellIs" priority="1" dxfId="1" operator="greaterThan" stopIfTrue="1">
      <formula>0</formula>
    </cfRule>
    <cfRule type="cellIs" priority="2" dxfId="0" operator="lessThanOr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9">
    <tabColor indexed="47"/>
  </sheetPr>
  <dimension ref="A1:L5"/>
  <sheetViews>
    <sheetView zoomScalePageLayoutView="0" workbookViewId="0" topLeftCell="A1">
      <selection activeCell="E5" sqref="E5"/>
    </sheetView>
  </sheetViews>
  <sheetFormatPr defaultColWidth="9.140625" defaultRowHeight="12.75"/>
  <cols>
    <col min="4" max="4" width="10.00390625" style="0" bestFit="1" customWidth="1"/>
    <col min="5" max="5" width="9.7109375" style="0" bestFit="1" customWidth="1"/>
    <col min="6" max="6" width="10.00390625" style="0" bestFit="1" customWidth="1"/>
  </cols>
  <sheetData>
    <row r="1" spans="1:11" ht="13.5" thickBot="1">
      <c r="A1" s="16" t="s">
        <v>8</v>
      </c>
      <c r="B1" s="65" t="s">
        <v>4</v>
      </c>
      <c r="C1" s="18" t="s">
        <v>9</v>
      </c>
      <c r="D1" s="74" t="s">
        <v>10</v>
      </c>
      <c r="E1" s="75" t="s">
        <v>11</v>
      </c>
      <c r="F1" s="76" t="s">
        <v>12</v>
      </c>
      <c r="G1" s="77" t="s">
        <v>13</v>
      </c>
      <c r="H1" s="78" t="s">
        <v>14</v>
      </c>
      <c r="I1" s="79" t="s">
        <v>15</v>
      </c>
      <c r="J1" s="80" t="s">
        <v>16</v>
      </c>
      <c r="K1" s="69" t="s">
        <v>29</v>
      </c>
    </row>
    <row r="2" spans="1:12" ht="14.25">
      <c r="A2" s="25" t="s">
        <v>33</v>
      </c>
      <c r="B2" s="27"/>
      <c r="C2" s="10"/>
      <c r="D2" s="34"/>
      <c r="E2" s="35"/>
      <c r="F2" s="36"/>
      <c r="G2" s="81"/>
      <c r="H2" s="64"/>
      <c r="I2" s="38"/>
      <c r="J2" s="39"/>
      <c r="K2" s="82"/>
      <c r="L2" s="73"/>
    </row>
    <row r="3" spans="1:12" ht="12.75">
      <c r="A3" s="8"/>
      <c r="B3" s="27">
        <v>42081</v>
      </c>
      <c r="C3" s="113" t="s">
        <v>58</v>
      </c>
      <c r="D3" s="129">
        <v>85.92507</v>
      </c>
      <c r="E3" s="40">
        <v>2100</v>
      </c>
      <c r="F3" s="41">
        <f>E3/D3</f>
        <v>24.439898623300508</v>
      </c>
      <c r="G3" s="37">
        <f>VLOOKUP(C3,'Stock Prices'!$B$5:$D$18,3,FALSE)</f>
        <v>35.605</v>
      </c>
      <c r="H3" s="63">
        <f>G3*D3</f>
        <v>3059.36211735</v>
      </c>
      <c r="I3" s="42">
        <f>H3-E3</f>
        <v>959.3621173500001</v>
      </c>
      <c r="J3" s="43">
        <f>I3/E3</f>
        <v>0.4568391035</v>
      </c>
      <c r="K3" s="72">
        <f>(($H3/$E3)^(365/(TODAY()-$B3)))-1</f>
        <v>0.1600623451231027</v>
      </c>
      <c r="L3" s="73"/>
    </row>
    <row r="4" spans="1:11" ht="15">
      <c r="A4" s="8"/>
      <c r="B4" s="27">
        <f ca="1">TODAY()</f>
        <v>43006</v>
      </c>
      <c r="C4" s="10"/>
      <c r="D4" s="106">
        <f ca="1">SUM(D3:OFFSET(D4,-1,0))</f>
        <v>85.92507</v>
      </c>
      <c r="E4" s="68">
        <f>-H4</f>
        <v>-3059.36211735</v>
      </c>
      <c r="F4" s="30">
        <f>E5/D4</f>
        <v>24.439898623300508</v>
      </c>
      <c r="G4" s="44">
        <f>G3</f>
        <v>35.605</v>
      </c>
      <c r="H4" s="62">
        <f>D4*G4</f>
        <v>3059.36211735</v>
      </c>
      <c r="I4" s="45">
        <f>H4-E5</f>
        <v>959.3621173500001</v>
      </c>
      <c r="J4" s="46">
        <f>I4/E5</f>
        <v>0.4568391035</v>
      </c>
      <c r="K4" s="71">
        <f>XIRR(E3:E4,B3:B4)</f>
        <v>0.1600623428821564</v>
      </c>
    </row>
    <row r="5" ht="12.75">
      <c r="E5" s="29">
        <f ca="1">SUM(E3:OFFSET(E5,-2,0))</f>
        <v>2100</v>
      </c>
    </row>
  </sheetData>
  <sheetProtection/>
  <conditionalFormatting sqref="K1:K4">
    <cfRule type="cellIs" priority="1" dxfId="1" operator="greaterThan" stopIfTrue="1">
      <formula>0</formula>
    </cfRule>
    <cfRule type="cellIs" priority="2" dxfId="0" operator="lessThanOrEqual" stopIfTrue="1">
      <formula>0</formula>
    </cfRule>
  </conditionalFormatting>
  <conditionalFormatting sqref="I1:I4">
    <cfRule type="cellIs" priority="3" dxfId="1" operator="greaterThanOrEqual" stopIfTrue="1">
      <formula>0</formula>
    </cfRule>
    <cfRule type="cellIs" priority="4" dxfId="0" operator="lessThan" stopIfTrue="1">
      <formula>0</formula>
    </cfRule>
  </conditionalFormatting>
  <conditionalFormatting sqref="J1:J2">
    <cfRule type="cellIs" priority="5" dxfId="1" operator="greaterThanOrEqual" stopIfTrue="1">
      <formula>0.1</formula>
    </cfRule>
    <cfRule type="cellIs" priority="6" dxfId="3" operator="between" stopIfTrue="1">
      <formula>0</formula>
      <formula>-2</formula>
    </cfRule>
    <cfRule type="cellIs" priority="7" dxfId="2" operator="between" stopIfTrue="1">
      <formula>0</formula>
      <formula>0.1</formula>
    </cfRule>
  </conditionalFormatting>
  <conditionalFormatting sqref="J3:J4">
    <cfRule type="cellIs" priority="8" dxfId="7" operator="greaterThanOrEqual" stopIfTrue="1">
      <formula>0.5</formula>
    </cfRule>
    <cfRule type="cellIs" priority="9" dxfId="3" operator="lessThan" stopIfTrue="1">
      <formula>0.0001</formula>
    </cfRule>
    <cfRule type="cellIs" priority="10" dxfId="2" operator="greaterThanOrEqual" stopIfTrue="1">
      <formula>0.0001</formula>
    </cfRule>
  </conditionalFormatting>
  <conditionalFormatting sqref="J3">
    <cfRule type="cellIs" priority="11" dxfId="2" operator="greaterThanOrEqual" stopIfTrue="1">
      <formula>0.5</formula>
    </cfRule>
    <cfRule type="cellIs" priority="12" dxfId="3" operator="lessThan" stopIfTrue="1">
      <formula>0.0001</formula>
    </cfRule>
    <cfRule type="cellIs" priority="13" dxfId="2" operator="greaterThanOrEqual" stopIfTrue="1">
      <formula>0.0001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5">
    <tabColor indexed="47"/>
  </sheetPr>
  <dimension ref="A1:L5"/>
  <sheetViews>
    <sheetView zoomScalePageLayoutView="0" workbookViewId="0" topLeftCell="A1">
      <selection activeCell="E4" sqref="E4"/>
    </sheetView>
  </sheetViews>
  <sheetFormatPr defaultColWidth="9.140625" defaultRowHeight="12.75"/>
  <cols>
    <col min="4" max="4" width="10.00390625" style="0" bestFit="1" customWidth="1"/>
    <col min="5" max="5" width="9.7109375" style="0" bestFit="1" customWidth="1"/>
    <col min="6" max="6" width="10.00390625" style="0" bestFit="1" customWidth="1"/>
  </cols>
  <sheetData>
    <row r="1" spans="1:11" ht="13.5" thickBot="1">
      <c r="A1" s="16" t="s">
        <v>8</v>
      </c>
      <c r="B1" s="65" t="s">
        <v>4</v>
      </c>
      <c r="C1" s="18" t="s">
        <v>9</v>
      </c>
      <c r="D1" s="74" t="s">
        <v>10</v>
      </c>
      <c r="E1" s="75" t="s">
        <v>11</v>
      </c>
      <c r="F1" s="76" t="s">
        <v>12</v>
      </c>
      <c r="G1" s="77" t="s">
        <v>13</v>
      </c>
      <c r="H1" s="78" t="s">
        <v>14</v>
      </c>
      <c r="I1" s="79" t="s">
        <v>15</v>
      </c>
      <c r="J1" s="80" t="s">
        <v>16</v>
      </c>
      <c r="K1" s="69" t="s">
        <v>29</v>
      </c>
    </row>
    <row r="2" spans="1:12" ht="14.25">
      <c r="A2" s="25" t="s">
        <v>84</v>
      </c>
      <c r="B2" s="27"/>
      <c r="C2" s="10"/>
      <c r="D2" s="34"/>
      <c r="E2" s="35"/>
      <c r="F2" s="36"/>
      <c r="G2" s="81"/>
      <c r="H2" s="64"/>
      <c r="I2" s="38"/>
      <c r="J2" s="39"/>
      <c r="K2" s="82"/>
      <c r="L2" s="73"/>
    </row>
    <row r="3" spans="1:12" ht="12.75">
      <c r="A3" s="8"/>
      <c r="B3" s="27">
        <v>42999</v>
      </c>
      <c r="C3" s="113" t="s">
        <v>102</v>
      </c>
      <c r="D3" s="129">
        <v>88.04802</v>
      </c>
      <c r="E3" s="40">
        <v>4000</v>
      </c>
      <c r="F3" s="41">
        <f>E3/D3</f>
        <v>45.42975526309394</v>
      </c>
      <c r="G3" s="37">
        <f>VLOOKUP(C3,'Stock Prices'!$B$5:$D$18,3,FALSE)</f>
        <v>47.37</v>
      </c>
      <c r="H3" s="63">
        <f>G3*D3</f>
        <v>4170.834707399999</v>
      </c>
      <c r="I3" s="42">
        <f>H3-E3</f>
        <v>170.8347073999994</v>
      </c>
      <c r="J3" s="43">
        <f>I3/E3</f>
        <v>0.04270867684999985</v>
      </c>
      <c r="K3" s="72">
        <f>(($H3/$E3)^(365/(TODAY()-$B3)))-1</f>
        <v>7.852584142670402</v>
      </c>
      <c r="L3" s="73"/>
    </row>
    <row r="4" spans="1:11" ht="15">
      <c r="A4" s="8"/>
      <c r="B4" s="27">
        <f ca="1">TODAY()</f>
        <v>43006</v>
      </c>
      <c r="C4" s="10"/>
      <c r="D4" s="106">
        <f ca="1">SUM(D3:OFFSET(D4,-1,0))</f>
        <v>88.04802</v>
      </c>
      <c r="E4" s="68">
        <f>-H4</f>
        <v>-4170.834707399999</v>
      </c>
      <c r="F4" s="30">
        <f>E5/D4</f>
        <v>45.42975526309394</v>
      </c>
      <c r="G4" s="44">
        <f>G3</f>
        <v>47.37</v>
      </c>
      <c r="H4" s="62">
        <f>D4*G4</f>
        <v>4170.834707399999</v>
      </c>
      <c r="I4" s="45">
        <f>H4-E5</f>
        <v>170.8347073999994</v>
      </c>
      <c r="J4" s="46">
        <f>I4/E5</f>
        <v>0.04270867684999985</v>
      </c>
      <c r="K4" s="71">
        <f>XIRR(E3:E4,B3:B4)</f>
        <v>7.852584123611449</v>
      </c>
    </row>
    <row r="5" ht="12.75">
      <c r="E5" s="29">
        <f ca="1">SUM(E3:OFFSET(E5,-2,0))</f>
        <v>4000</v>
      </c>
    </row>
  </sheetData>
  <sheetProtection/>
  <conditionalFormatting sqref="K1:K4">
    <cfRule type="cellIs" priority="1" dxfId="1" operator="greaterThan" stopIfTrue="1">
      <formula>0</formula>
    </cfRule>
    <cfRule type="cellIs" priority="2" dxfId="0" operator="lessThanOrEqual" stopIfTrue="1">
      <formula>0</formula>
    </cfRule>
  </conditionalFormatting>
  <conditionalFormatting sqref="I1:I4">
    <cfRule type="cellIs" priority="3" dxfId="1" operator="greaterThanOrEqual" stopIfTrue="1">
      <formula>0</formula>
    </cfRule>
    <cfRule type="cellIs" priority="4" dxfId="0" operator="lessThan" stopIfTrue="1">
      <formula>0</formula>
    </cfRule>
  </conditionalFormatting>
  <conditionalFormatting sqref="J1:J2">
    <cfRule type="cellIs" priority="5" dxfId="1" operator="greaterThanOrEqual" stopIfTrue="1">
      <formula>0.1</formula>
    </cfRule>
    <cfRule type="cellIs" priority="6" dxfId="3" operator="between" stopIfTrue="1">
      <formula>0</formula>
      <formula>-2</formula>
    </cfRule>
    <cfRule type="cellIs" priority="7" dxfId="2" operator="between" stopIfTrue="1">
      <formula>0</formula>
      <formula>0.1</formula>
    </cfRule>
  </conditionalFormatting>
  <conditionalFormatting sqref="J3:J4">
    <cfRule type="cellIs" priority="8" dxfId="7" operator="greaterThanOrEqual" stopIfTrue="1">
      <formula>0.5</formula>
    </cfRule>
    <cfRule type="cellIs" priority="9" dxfId="3" operator="lessThan" stopIfTrue="1">
      <formula>0.0001</formula>
    </cfRule>
    <cfRule type="cellIs" priority="10" dxfId="2" operator="greaterThanOrEqual" stopIfTrue="1">
      <formula>0.0001</formula>
    </cfRule>
  </conditionalFormatting>
  <conditionalFormatting sqref="J3">
    <cfRule type="cellIs" priority="11" dxfId="2" operator="greaterThanOrEqual" stopIfTrue="1">
      <formula>0.5</formula>
    </cfRule>
    <cfRule type="cellIs" priority="12" dxfId="3" operator="lessThan" stopIfTrue="1">
      <formula>0.0001</formula>
    </cfRule>
    <cfRule type="cellIs" priority="13" dxfId="2" operator="greaterThanOrEqual" stopIfTrue="1">
      <formula>0.0001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7">
    <tabColor indexed="47"/>
  </sheetPr>
  <dimension ref="A1:L6"/>
  <sheetViews>
    <sheetView zoomScalePageLayoutView="0" workbookViewId="0" topLeftCell="A1">
      <selection activeCell="E6" sqref="E6"/>
    </sheetView>
  </sheetViews>
  <sheetFormatPr defaultColWidth="9.140625" defaultRowHeight="12.75"/>
  <cols>
    <col min="4" max="4" width="10.00390625" style="0" customWidth="1"/>
    <col min="5" max="5" width="9.7109375" style="0" customWidth="1"/>
    <col min="6" max="6" width="10.00390625" style="0" customWidth="1"/>
  </cols>
  <sheetData>
    <row r="1" spans="1:11" ht="13.5" thickBot="1">
      <c r="A1" s="16" t="s">
        <v>8</v>
      </c>
      <c r="B1" s="65" t="s">
        <v>4</v>
      </c>
      <c r="C1" s="18" t="s">
        <v>9</v>
      </c>
      <c r="D1" s="74" t="s">
        <v>10</v>
      </c>
      <c r="E1" s="75" t="s">
        <v>11</v>
      </c>
      <c r="F1" s="76" t="s">
        <v>12</v>
      </c>
      <c r="G1" s="77" t="s">
        <v>13</v>
      </c>
      <c r="H1" s="78" t="s">
        <v>14</v>
      </c>
      <c r="I1" s="79" t="s">
        <v>15</v>
      </c>
      <c r="J1" s="80" t="s">
        <v>16</v>
      </c>
      <c r="K1" s="69" t="s">
        <v>29</v>
      </c>
    </row>
    <row r="2" spans="1:12" ht="14.25">
      <c r="A2" s="25" t="s">
        <v>33</v>
      </c>
      <c r="B2" s="27"/>
      <c r="C2" s="10"/>
      <c r="D2" s="34"/>
      <c r="E2" s="35"/>
      <c r="F2" s="36"/>
      <c r="G2" s="81"/>
      <c r="H2" s="64"/>
      <c r="I2" s="38"/>
      <c r="J2" s="39"/>
      <c r="K2" s="82"/>
      <c r="L2" s="73"/>
    </row>
    <row r="3" spans="1:12" ht="12.75">
      <c r="A3" s="8"/>
      <c r="B3" s="27">
        <v>42811</v>
      </c>
      <c r="C3" s="113" t="s">
        <v>95</v>
      </c>
      <c r="D3" s="128">
        <v>15.4</v>
      </c>
      <c r="E3" s="35">
        <v>862.55</v>
      </c>
      <c r="F3" s="36">
        <f>E3/D3</f>
        <v>56.009740259740255</v>
      </c>
      <c r="G3" s="37">
        <f>VLOOKUP(C3,'Stock Prices'!$B$5:$D$18,3,FALSE)</f>
        <v>54.69</v>
      </c>
      <c r="H3" s="64">
        <f>G3*D3</f>
        <v>842.226</v>
      </c>
      <c r="I3" s="38">
        <f>H3-E3</f>
        <v>-20.323999999999955</v>
      </c>
      <c r="J3" s="39">
        <f>I3/E3</f>
        <v>-0.023562692017853985</v>
      </c>
      <c r="K3" s="101">
        <f>(($H3/$E3)^(365/(TODAY()-$B3)))-1</f>
        <v>-0.04365107295078985</v>
      </c>
      <c r="L3" s="73"/>
    </row>
    <row r="4" spans="1:12" ht="12.75">
      <c r="A4" s="8"/>
      <c r="B4" s="27">
        <v>42844</v>
      </c>
      <c r="C4" s="113" t="s">
        <v>95</v>
      </c>
      <c r="D4" s="129">
        <v>16.82938</v>
      </c>
      <c r="E4" s="40">
        <v>1000</v>
      </c>
      <c r="F4" s="41">
        <f>E4/D4</f>
        <v>59.41989544475197</v>
      </c>
      <c r="G4" s="37">
        <f>VLOOKUP(C4,'Stock Prices'!$B$5:$D$18,3,FALSE)</f>
        <v>54.69</v>
      </c>
      <c r="H4" s="63">
        <f>G4*D4</f>
        <v>920.3987922</v>
      </c>
      <c r="I4" s="42">
        <f>H4-E4</f>
        <v>-79.6012078</v>
      </c>
      <c r="J4" s="43">
        <f>I4/E4</f>
        <v>-0.0796012078</v>
      </c>
      <c r="K4" s="101">
        <f>(($H4/$E4)^(365/(TODAY()-$B4)))-1</f>
        <v>-0.17046463611616813</v>
      </c>
      <c r="L4" s="73"/>
    </row>
    <row r="5" spans="1:11" ht="15">
      <c r="A5" s="8"/>
      <c r="B5" s="27">
        <f ca="1">TODAY()</f>
        <v>43006</v>
      </c>
      <c r="C5" s="10"/>
      <c r="D5" s="106">
        <f ca="1">SUM(D3:OFFSET(D5,-1,0))</f>
        <v>32.22938</v>
      </c>
      <c r="E5" s="68">
        <f>-H5</f>
        <v>-1762.6247921999998</v>
      </c>
      <c r="F5" s="30">
        <f>E6/D5</f>
        <v>57.790438413646186</v>
      </c>
      <c r="G5" s="44">
        <f>G3</f>
        <v>54.69</v>
      </c>
      <c r="H5" s="62">
        <f>D5*G5</f>
        <v>1762.6247921999998</v>
      </c>
      <c r="I5" s="45">
        <f>H5-E6</f>
        <v>-99.92520780000018</v>
      </c>
      <c r="J5" s="46">
        <f>I5/E6</f>
        <v>-0.05364967802206662</v>
      </c>
      <c r="K5" s="71">
        <f>XIRR(E3:E5,B3:B5)</f>
        <v>-0.10734732486307622</v>
      </c>
    </row>
    <row r="6" ht="12.75">
      <c r="E6" s="29">
        <f ca="1">SUM(E3:OFFSET(E6,-2,0))</f>
        <v>1862.55</v>
      </c>
    </row>
  </sheetData>
  <sheetProtection/>
  <conditionalFormatting sqref="K1:K2 K5">
    <cfRule type="cellIs" priority="13" dxfId="1" operator="greaterThan" stopIfTrue="1">
      <formula>0</formula>
    </cfRule>
    <cfRule type="cellIs" priority="14" dxfId="0" operator="lessThanOrEqual" stopIfTrue="1">
      <formula>0</formula>
    </cfRule>
  </conditionalFormatting>
  <conditionalFormatting sqref="I1:I3 I5">
    <cfRule type="cellIs" priority="15" dxfId="1" operator="greaterThanOrEqual" stopIfTrue="1">
      <formula>0</formula>
    </cfRule>
    <cfRule type="cellIs" priority="16" dxfId="0" operator="lessThan" stopIfTrue="1">
      <formula>0</formula>
    </cfRule>
  </conditionalFormatting>
  <conditionalFormatting sqref="J1:J2">
    <cfRule type="cellIs" priority="17" dxfId="1" operator="greaterThanOrEqual" stopIfTrue="1">
      <formula>0.1</formula>
    </cfRule>
    <cfRule type="cellIs" priority="18" dxfId="3" operator="between" stopIfTrue="1">
      <formula>0</formula>
      <formula>-2</formula>
    </cfRule>
    <cfRule type="cellIs" priority="19" dxfId="2" operator="between" stopIfTrue="1">
      <formula>0</formula>
      <formula>0.1</formula>
    </cfRule>
  </conditionalFormatting>
  <conditionalFormatting sqref="J3 J5">
    <cfRule type="cellIs" priority="20" dxfId="7" operator="greaterThanOrEqual" stopIfTrue="1">
      <formula>0.5</formula>
    </cfRule>
    <cfRule type="cellIs" priority="21" dxfId="3" operator="lessThan" stopIfTrue="1">
      <formula>0.0001</formula>
    </cfRule>
    <cfRule type="cellIs" priority="22" dxfId="2" operator="greaterThanOrEqual" stopIfTrue="1">
      <formula>0.0001</formula>
    </cfRule>
  </conditionalFormatting>
  <conditionalFormatting sqref="J3">
    <cfRule type="cellIs" priority="23" dxfId="2" operator="greaterThanOrEqual" stopIfTrue="1">
      <formula>0.5</formula>
    </cfRule>
    <cfRule type="cellIs" priority="24" dxfId="3" operator="lessThan" stopIfTrue="1">
      <formula>0.0001</formula>
    </cfRule>
    <cfRule type="cellIs" priority="25" dxfId="2" operator="greaterThanOrEqual" stopIfTrue="1">
      <formula>0.0001</formula>
    </cfRule>
  </conditionalFormatting>
  <conditionalFormatting sqref="K3">
    <cfRule type="cellIs" priority="11" dxfId="1" operator="greaterThan" stopIfTrue="1">
      <formula>0</formula>
    </cfRule>
    <cfRule type="cellIs" priority="12" dxfId="0" operator="lessThanOrEqual" stopIfTrue="1">
      <formula>0</formula>
    </cfRule>
  </conditionalFormatting>
  <conditionalFormatting sqref="I4">
    <cfRule type="cellIs" priority="3" dxfId="1" operator="greaterThanOrEqual" stopIfTrue="1">
      <formula>0</formula>
    </cfRule>
    <cfRule type="cellIs" priority="4" dxfId="0" operator="lessThan" stopIfTrue="1">
      <formula>0</formula>
    </cfRule>
  </conditionalFormatting>
  <conditionalFormatting sqref="J4">
    <cfRule type="cellIs" priority="5" dxfId="7" operator="greaterThanOrEqual" stopIfTrue="1">
      <formula>0.5</formula>
    </cfRule>
    <cfRule type="cellIs" priority="6" dxfId="3" operator="lessThan" stopIfTrue="1">
      <formula>0.0001</formula>
    </cfRule>
    <cfRule type="cellIs" priority="7" dxfId="2" operator="greaterThanOrEqual" stopIfTrue="1">
      <formula>0.0001</formula>
    </cfRule>
  </conditionalFormatting>
  <conditionalFormatting sqref="J4">
    <cfRule type="cellIs" priority="8" dxfId="2" operator="greaterThanOrEqual" stopIfTrue="1">
      <formula>0.5</formula>
    </cfRule>
    <cfRule type="cellIs" priority="9" dxfId="3" operator="lessThan" stopIfTrue="1">
      <formula>0.0001</formula>
    </cfRule>
    <cfRule type="cellIs" priority="10" dxfId="2" operator="greaterThanOrEqual" stopIfTrue="1">
      <formula>0.0001</formula>
    </cfRule>
  </conditionalFormatting>
  <conditionalFormatting sqref="K4">
    <cfRule type="cellIs" priority="1" dxfId="1" operator="greaterThan" stopIfTrue="1">
      <formula>0</formula>
    </cfRule>
    <cfRule type="cellIs" priority="2" dxfId="0" operator="lessThanOr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1">
    <tabColor indexed="47"/>
  </sheetPr>
  <dimension ref="A1:N6"/>
  <sheetViews>
    <sheetView zoomScalePageLayoutView="0" workbookViewId="0" topLeftCell="A1">
      <selection activeCell="E6" sqref="E6"/>
    </sheetView>
  </sheetViews>
  <sheetFormatPr defaultColWidth="9.140625" defaultRowHeight="12.75"/>
  <cols>
    <col min="4" max="4" width="10.00390625" style="0" bestFit="1" customWidth="1"/>
    <col min="5" max="5" width="9.7109375" style="0" bestFit="1" customWidth="1"/>
    <col min="6" max="6" width="10.00390625" style="0" bestFit="1" customWidth="1"/>
  </cols>
  <sheetData>
    <row r="1" spans="1:11" ht="13.5" thickBot="1">
      <c r="A1" s="16" t="s">
        <v>8</v>
      </c>
      <c r="B1" s="65" t="s">
        <v>4</v>
      </c>
      <c r="C1" s="18" t="s">
        <v>9</v>
      </c>
      <c r="D1" s="74" t="s">
        <v>10</v>
      </c>
      <c r="E1" s="75" t="s">
        <v>11</v>
      </c>
      <c r="F1" s="76" t="s">
        <v>12</v>
      </c>
      <c r="G1" s="77" t="s">
        <v>13</v>
      </c>
      <c r="H1" s="78" t="s">
        <v>14</v>
      </c>
      <c r="I1" s="79" t="s">
        <v>15</v>
      </c>
      <c r="J1" s="80" t="s">
        <v>16</v>
      </c>
      <c r="K1" s="69" t="s">
        <v>29</v>
      </c>
    </row>
    <row r="2" spans="1:12" ht="14.25">
      <c r="A2" s="25" t="s">
        <v>84</v>
      </c>
      <c r="B2" s="27"/>
      <c r="C2" s="10"/>
      <c r="D2" s="34"/>
      <c r="E2" s="35"/>
      <c r="F2" s="36"/>
      <c r="G2" s="81"/>
      <c r="H2" s="64"/>
      <c r="I2" s="38"/>
      <c r="J2" s="39"/>
      <c r="K2" s="82"/>
      <c r="L2" s="73"/>
    </row>
    <row r="3" spans="1:14" ht="12.75">
      <c r="A3" s="8"/>
      <c r="B3" s="123">
        <v>42172</v>
      </c>
      <c r="C3" s="113" t="s">
        <v>60</v>
      </c>
      <c r="D3" s="103">
        <v>33.14935</v>
      </c>
      <c r="E3" s="35">
        <v>600</v>
      </c>
      <c r="F3" s="36">
        <f>E3/D3</f>
        <v>18.0999024113595</v>
      </c>
      <c r="G3" s="37">
        <f>VLOOKUP(C3,'Stock Prices'!$B$5:$D$18,3,FALSE)</f>
        <v>36.55</v>
      </c>
      <c r="H3" s="64">
        <f>G3*D3</f>
        <v>1211.6087424999998</v>
      </c>
      <c r="I3" s="38">
        <f>H3-E3</f>
        <v>611.6087424999998</v>
      </c>
      <c r="J3" s="39">
        <f>I3/E3</f>
        <v>1.0193479041666664</v>
      </c>
      <c r="K3" s="72">
        <f>(($H3/$E3)^(365/(TODAY()-$B3)))-1</f>
        <v>0.36011497517566915</v>
      </c>
      <c r="L3" s="73"/>
      <c r="M3" s="73"/>
      <c r="N3" s="73"/>
    </row>
    <row r="4" spans="1:12" ht="12.75">
      <c r="A4" s="8"/>
      <c r="B4" s="27">
        <v>42173</v>
      </c>
      <c r="C4" s="113" t="s">
        <v>60</v>
      </c>
      <c r="D4" s="104">
        <v>18.3428</v>
      </c>
      <c r="E4" s="40">
        <v>332.92</v>
      </c>
      <c r="F4" s="41">
        <f>E4/D4</f>
        <v>18.1499007785071</v>
      </c>
      <c r="G4" s="37">
        <f>VLOOKUP(C4,'Stock Prices'!$B$5:$D$18,3,FALSE)</f>
        <v>36.55</v>
      </c>
      <c r="H4" s="63">
        <f>G4*D4</f>
        <v>670.4293399999999</v>
      </c>
      <c r="I4" s="42">
        <f>H4-E4</f>
        <v>337.5093399999999</v>
      </c>
      <c r="J4" s="43">
        <f>I4/E4</f>
        <v>1.0137851135407903</v>
      </c>
      <c r="K4" s="72">
        <f>(($H4/$E4)^(365/(TODAY()-$B4)))-1</f>
        <v>0.3589736426301018</v>
      </c>
      <c r="L4" s="73"/>
    </row>
    <row r="5" spans="1:11" ht="15">
      <c r="A5" s="8"/>
      <c r="B5" s="27">
        <f ca="1">TODAY()</f>
        <v>43006</v>
      </c>
      <c r="C5" s="10"/>
      <c r="D5" s="106">
        <f ca="1">SUM(D3:OFFSET(D5,-1,0))</f>
        <v>51.492149999999995</v>
      </c>
      <c r="E5" s="68">
        <f>-H5</f>
        <v>-1882.0380824999997</v>
      </c>
      <c r="F5" s="30">
        <f>E6/D5</f>
        <v>18.117713088305695</v>
      </c>
      <c r="G5" s="44">
        <f>G3</f>
        <v>36.55</v>
      </c>
      <c r="H5" s="62">
        <f>D5*G5</f>
        <v>1882.0380824999997</v>
      </c>
      <c r="I5" s="45">
        <f>H5-E6</f>
        <v>949.1180824999997</v>
      </c>
      <c r="J5" s="46">
        <f>I5/E6</f>
        <v>1.0173627776229468</v>
      </c>
      <c r="K5" s="71">
        <f>XIRR(E3:E5,B3:B5)</f>
        <v>0.3597083628177644</v>
      </c>
    </row>
    <row r="6" ht="12.75">
      <c r="E6" s="29">
        <f ca="1">SUM(E3:OFFSET(E6,-2,0))</f>
        <v>932.9200000000001</v>
      </c>
    </row>
  </sheetData>
  <sheetProtection/>
  <conditionalFormatting sqref="K1:K3 K5">
    <cfRule type="cellIs" priority="11" dxfId="1" operator="greaterThan" stopIfTrue="1">
      <formula>0</formula>
    </cfRule>
    <cfRule type="cellIs" priority="12" dxfId="0" operator="lessThanOrEqual" stopIfTrue="1">
      <formula>0</formula>
    </cfRule>
  </conditionalFormatting>
  <conditionalFormatting sqref="I1:I3 I5">
    <cfRule type="cellIs" priority="13" dxfId="1" operator="greaterThanOrEqual" stopIfTrue="1">
      <formula>0</formula>
    </cfRule>
    <cfRule type="cellIs" priority="14" dxfId="0" operator="lessThan" stopIfTrue="1">
      <formula>0</formula>
    </cfRule>
  </conditionalFormatting>
  <conditionalFormatting sqref="J1:J2">
    <cfRule type="cellIs" priority="15" dxfId="1" operator="greaterThanOrEqual" stopIfTrue="1">
      <formula>0.1</formula>
    </cfRule>
    <cfRule type="cellIs" priority="16" dxfId="3" operator="between" stopIfTrue="1">
      <formula>0</formula>
      <formula>-2</formula>
    </cfRule>
    <cfRule type="cellIs" priority="17" dxfId="2" operator="between" stopIfTrue="1">
      <formula>0</formula>
      <formula>0.1</formula>
    </cfRule>
  </conditionalFormatting>
  <conditionalFormatting sqref="J3 J5">
    <cfRule type="cellIs" priority="18" dxfId="7" operator="greaterThanOrEqual" stopIfTrue="1">
      <formula>0.5</formula>
    </cfRule>
    <cfRule type="cellIs" priority="19" dxfId="3" operator="lessThan" stopIfTrue="1">
      <formula>0.0001</formula>
    </cfRule>
    <cfRule type="cellIs" priority="20" dxfId="2" operator="greaterThanOrEqual" stopIfTrue="1">
      <formula>0.0001</formula>
    </cfRule>
  </conditionalFormatting>
  <conditionalFormatting sqref="J3">
    <cfRule type="cellIs" priority="21" dxfId="2" operator="greaterThanOrEqual" stopIfTrue="1">
      <formula>0.5</formula>
    </cfRule>
    <cfRule type="cellIs" priority="22" dxfId="3" operator="lessThan" stopIfTrue="1">
      <formula>0.0001</formula>
    </cfRule>
    <cfRule type="cellIs" priority="23" dxfId="2" operator="greaterThanOrEqual" stopIfTrue="1">
      <formula>0.0001</formula>
    </cfRule>
  </conditionalFormatting>
  <conditionalFormatting sqref="K4">
    <cfRule type="cellIs" priority="1" dxfId="1" operator="greaterThan" stopIfTrue="1">
      <formula>0</formula>
    </cfRule>
    <cfRule type="cellIs" priority="2" dxfId="0" operator="lessThanOrEqual" stopIfTrue="1">
      <formula>0</formula>
    </cfRule>
  </conditionalFormatting>
  <conditionalFormatting sqref="I4">
    <cfRule type="cellIs" priority="3" dxfId="1" operator="greaterThanOrEqual" stopIfTrue="1">
      <formula>0</formula>
    </cfRule>
    <cfRule type="cellIs" priority="4" dxfId="0" operator="lessThan" stopIfTrue="1">
      <formula>0</formula>
    </cfRule>
  </conditionalFormatting>
  <conditionalFormatting sqref="J4">
    <cfRule type="cellIs" priority="5" dxfId="7" operator="greaterThanOrEqual" stopIfTrue="1">
      <formula>0.5</formula>
    </cfRule>
    <cfRule type="cellIs" priority="6" dxfId="3" operator="lessThan" stopIfTrue="1">
      <formula>0.0001</formula>
    </cfRule>
    <cfRule type="cellIs" priority="7" dxfId="2" operator="greaterThanOrEqual" stopIfTrue="1">
      <formula>0.0001</formula>
    </cfRule>
  </conditionalFormatting>
  <conditionalFormatting sqref="J4">
    <cfRule type="cellIs" priority="8" dxfId="2" operator="greaterThanOrEqual" stopIfTrue="1">
      <formula>0.5</formula>
    </cfRule>
    <cfRule type="cellIs" priority="9" dxfId="3" operator="lessThan" stopIfTrue="1">
      <formula>0.0001</formula>
    </cfRule>
    <cfRule type="cellIs" priority="10" dxfId="2" operator="greaterThanOrEqual" stopIfTrue="1">
      <formula>0.0001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9">
    <tabColor indexed="47"/>
  </sheetPr>
  <dimension ref="A1:L6"/>
  <sheetViews>
    <sheetView zoomScalePageLayoutView="0" workbookViewId="0" topLeftCell="A1">
      <selection activeCell="G9" sqref="G9"/>
    </sheetView>
  </sheetViews>
  <sheetFormatPr defaultColWidth="9.140625" defaultRowHeight="12.75"/>
  <cols>
    <col min="4" max="4" width="10.00390625" style="0" bestFit="1" customWidth="1"/>
    <col min="5" max="5" width="9.7109375" style="0" bestFit="1" customWidth="1"/>
    <col min="6" max="6" width="10.00390625" style="0" bestFit="1" customWidth="1"/>
  </cols>
  <sheetData>
    <row r="1" spans="1:11" ht="13.5" thickBot="1">
      <c r="A1" s="16" t="s">
        <v>8</v>
      </c>
      <c r="B1" s="65" t="s">
        <v>4</v>
      </c>
      <c r="C1" s="18" t="s">
        <v>9</v>
      </c>
      <c r="D1" s="74" t="s">
        <v>10</v>
      </c>
      <c r="E1" s="75" t="s">
        <v>11</v>
      </c>
      <c r="F1" s="76" t="s">
        <v>12</v>
      </c>
      <c r="G1" s="77" t="s">
        <v>13</v>
      </c>
      <c r="H1" s="78" t="s">
        <v>14</v>
      </c>
      <c r="I1" s="79" t="s">
        <v>15</v>
      </c>
      <c r="J1" s="80" t="s">
        <v>16</v>
      </c>
      <c r="K1" s="69" t="s">
        <v>29</v>
      </c>
    </row>
    <row r="2" spans="1:12" ht="14.25">
      <c r="A2" s="25" t="s">
        <v>33</v>
      </c>
      <c r="B2" s="27"/>
      <c r="C2" s="10"/>
      <c r="D2" s="34"/>
      <c r="E2" s="35"/>
      <c r="F2" s="36"/>
      <c r="G2" s="81"/>
      <c r="H2" s="64"/>
      <c r="I2" s="38"/>
      <c r="J2" s="39"/>
      <c r="K2" s="82"/>
      <c r="L2" s="73"/>
    </row>
    <row r="3" spans="1:12" ht="12.75">
      <c r="A3" s="8"/>
      <c r="B3" s="27">
        <v>42844</v>
      </c>
      <c r="C3" s="113" t="s">
        <v>98</v>
      </c>
      <c r="D3" s="103">
        <v>10.11685</v>
      </c>
      <c r="E3" s="35">
        <v>650</v>
      </c>
      <c r="F3" s="36">
        <f>E3/D3</f>
        <v>64.24924754246628</v>
      </c>
      <c r="G3" s="37">
        <f>VLOOKUP(C3,'Stock Prices'!$B$5:$D$18,3,FALSE)</f>
        <v>63.12</v>
      </c>
      <c r="H3" s="64">
        <f>G3*D3</f>
        <v>638.575572</v>
      </c>
      <c r="I3" s="38">
        <f>H3-E3</f>
        <v>-11.424428000000034</v>
      </c>
      <c r="J3" s="39">
        <f>I3/E3</f>
        <v>-0.01757604307692313</v>
      </c>
      <c r="K3" s="101">
        <f>(($H3/$E3)^(365/(TODAY()-$B3)))-1</f>
        <v>-0.03916490776544346</v>
      </c>
      <c r="L3" s="73"/>
    </row>
    <row r="4" spans="1:12" ht="12.75">
      <c r="A4" s="8"/>
      <c r="B4" s="27">
        <v>42999</v>
      </c>
      <c r="C4" s="113" t="s">
        <v>98</v>
      </c>
      <c r="D4" s="104">
        <v>16.46907</v>
      </c>
      <c r="E4" s="40">
        <v>1000</v>
      </c>
      <c r="F4" s="41">
        <f>E4/D4</f>
        <v>60.719882786338275</v>
      </c>
      <c r="G4" s="37">
        <f>VLOOKUP(C4,'Stock Prices'!$B$5:$D$18,3,FALSE)</f>
        <v>63.12</v>
      </c>
      <c r="H4" s="63">
        <f>G4*D4</f>
        <v>1039.5276984</v>
      </c>
      <c r="I4" s="42">
        <f>H4-E4</f>
        <v>39.52769839999996</v>
      </c>
      <c r="J4" s="43">
        <f>I4/E4</f>
        <v>0.039527698399999964</v>
      </c>
      <c r="K4" s="101">
        <f>(($H4/$E4)^(365/(TODAY()-$B4)))-1</f>
        <v>6.548846029531253</v>
      </c>
      <c r="L4" s="73"/>
    </row>
    <row r="5" spans="1:11" ht="15">
      <c r="A5" s="8"/>
      <c r="B5" s="27">
        <f ca="1">TODAY()</f>
        <v>43006</v>
      </c>
      <c r="C5" s="10"/>
      <c r="D5" s="106">
        <f ca="1">SUM(D3:OFFSET(D5,-1,0))</f>
        <v>26.585919999999998</v>
      </c>
      <c r="E5" s="68">
        <f>-H5</f>
        <v>-1678.1032703999997</v>
      </c>
      <c r="F5" s="30">
        <f>E6/D5</f>
        <v>62.06292654156787</v>
      </c>
      <c r="G5" s="44">
        <f>G3</f>
        <v>63.12</v>
      </c>
      <c r="H5" s="62">
        <f>D5*G5</f>
        <v>1678.1032703999997</v>
      </c>
      <c r="I5" s="45">
        <f>H5-E6</f>
        <v>28.1032703999997</v>
      </c>
      <c r="J5" s="46">
        <f>I5/E6</f>
        <v>0.01703228509090891</v>
      </c>
      <c r="K5" s="71">
        <f>XIRR(E3:E5,B3:B5)</f>
        <v>0.09378324449062346</v>
      </c>
    </row>
    <row r="6" ht="12.75">
      <c r="E6" s="29">
        <f ca="1">SUM(E3:OFFSET(E6,-2,0))</f>
        <v>1650</v>
      </c>
    </row>
  </sheetData>
  <sheetProtection/>
  <conditionalFormatting sqref="K1:K2 K5">
    <cfRule type="cellIs" priority="23" dxfId="1" operator="greaterThan" stopIfTrue="1">
      <formula>0</formula>
    </cfRule>
    <cfRule type="cellIs" priority="24" dxfId="0" operator="lessThanOrEqual" stopIfTrue="1">
      <formula>0</formula>
    </cfRule>
  </conditionalFormatting>
  <conditionalFormatting sqref="I1:I2 I5">
    <cfRule type="cellIs" priority="25" dxfId="1" operator="greaterThanOrEqual" stopIfTrue="1">
      <formula>0</formula>
    </cfRule>
    <cfRule type="cellIs" priority="26" dxfId="0" operator="lessThan" stopIfTrue="1">
      <formula>0</formula>
    </cfRule>
  </conditionalFormatting>
  <conditionalFormatting sqref="J1:J2">
    <cfRule type="cellIs" priority="27" dxfId="1" operator="greaterThanOrEqual" stopIfTrue="1">
      <formula>0.1</formula>
    </cfRule>
    <cfRule type="cellIs" priority="28" dxfId="3" operator="between" stopIfTrue="1">
      <formula>0</formula>
      <formula>-2</formula>
    </cfRule>
    <cfRule type="cellIs" priority="29" dxfId="2" operator="between" stopIfTrue="1">
      <formula>0</formula>
      <formula>0.1</formula>
    </cfRule>
  </conditionalFormatting>
  <conditionalFormatting sqref="J5">
    <cfRule type="cellIs" priority="30" dxfId="7" operator="greaterThanOrEqual" stopIfTrue="1">
      <formula>0.5</formula>
    </cfRule>
    <cfRule type="cellIs" priority="31" dxfId="3" operator="lessThan" stopIfTrue="1">
      <formula>0.0001</formula>
    </cfRule>
    <cfRule type="cellIs" priority="32" dxfId="2" operator="greaterThanOrEqual" stopIfTrue="1">
      <formula>0.0001</formula>
    </cfRule>
  </conditionalFormatting>
  <conditionalFormatting sqref="I3">
    <cfRule type="cellIs" priority="15" dxfId="1" operator="greaterThanOrEqual" stopIfTrue="1">
      <formula>0</formula>
    </cfRule>
    <cfRule type="cellIs" priority="16" dxfId="0" operator="lessThan" stopIfTrue="1">
      <formula>0</formula>
    </cfRule>
  </conditionalFormatting>
  <conditionalFormatting sqref="J3">
    <cfRule type="cellIs" priority="17" dxfId="7" operator="greaterThanOrEqual" stopIfTrue="1">
      <formula>0.5</formula>
    </cfRule>
    <cfRule type="cellIs" priority="18" dxfId="3" operator="lessThan" stopIfTrue="1">
      <formula>0.0001</formula>
    </cfRule>
    <cfRule type="cellIs" priority="19" dxfId="2" operator="greaterThanOrEqual" stopIfTrue="1">
      <formula>0.0001</formula>
    </cfRule>
  </conditionalFormatting>
  <conditionalFormatting sqref="J3">
    <cfRule type="cellIs" priority="20" dxfId="2" operator="greaterThanOrEqual" stopIfTrue="1">
      <formula>0.5</formula>
    </cfRule>
    <cfRule type="cellIs" priority="21" dxfId="3" operator="lessThan" stopIfTrue="1">
      <formula>0.0001</formula>
    </cfRule>
    <cfRule type="cellIs" priority="22" dxfId="2" operator="greaterThanOrEqual" stopIfTrue="1">
      <formula>0.0001</formula>
    </cfRule>
  </conditionalFormatting>
  <conditionalFormatting sqref="K3">
    <cfRule type="cellIs" priority="11" dxfId="1" operator="greaterThan" stopIfTrue="1">
      <formula>0</formula>
    </cfRule>
    <cfRule type="cellIs" priority="12" dxfId="0" operator="lessThanOrEqual" stopIfTrue="1">
      <formula>0</formula>
    </cfRule>
  </conditionalFormatting>
  <conditionalFormatting sqref="I4">
    <cfRule type="cellIs" priority="3" dxfId="1" operator="greaterThanOrEqual" stopIfTrue="1">
      <formula>0</formula>
    </cfRule>
    <cfRule type="cellIs" priority="4" dxfId="0" operator="lessThan" stopIfTrue="1">
      <formula>0</formula>
    </cfRule>
  </conditionalFormatting>
  <conditionalFormatting sqref="J4">
    <cfRule type="cellIs" priority="5" dxfId="7" operator="greaterThanOrEqual" stopIfTrue="1">
      <formula>0.5</formula>
    </cfRule>
    <cfRule type="cellIs" priority="6" dxfId="3" operator="lessThan" stopIfTrue="1">
      <formula>0.0001</formula>
    </cfRule>
    <cfRule type="cellIs" priority="7" dxfId="2" operator="greaterThanOrEqual" stopIfTrue="1">
      <formula>0.0001</formula>
    </cfRule>
  </conditionalFormatting>
  <conditionalFormatting sqref="J4">
    <cfRule type="cellIs" priority="8" dxfId="2" operator="greaterThanOrEqual" stopIfTrue="1">
      <formula>0.5</formula>
    </cfRule>
    <cfRule type="cellIs" priority="9" dxfId="3" operator="lessThan" stopIfTrue="1">
      <formula>0.0001</formula>
    </cfRule>
    <cfRule type="cellIs" priority="10" dxfId="2" operator="greaterThanOrEqual" stopIfTrue="1">
      <formula>0.0001</formula>
    </cfRule>
  </conditionalFormatting>
  <conditionalFormatting sqref="K4">
    <cfRule type="cellIs" priority="1" dxfId="1" operator="greaterThan" stopIfTrue="1">
      <formula>0</formula>
    </cfRule>
    <cfRule type="cellIs" priority="2" dxfId="0" operator="lessThanOr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">
    <tabColor theme="6" tint="0.7999799847602844"/>
  </sheetPr>
  <dimension ref="A1:G61"/>
  <sheetViews>
    <sheetView zoomScalePageLayoutView="0" workbookViewId="0" topLeftCell="A1">
      <selection activeCell="C5" sqref="C5:C18"/>
    </sheetView>
  </sheetViews>
  <sheetFormatPr defaultColWidth="9.140625" defaultRowHeight="12.75"/>
  <cols>
    <col min="1" max="1" width="10.421875" style="0" customWidth="1"/>
    <col min="4" max="4" width="10.28125" style="0" customWidth="1"/>
    <col min="5" max="5" width="11.28125" style="0" customWidth="1"/>
    <col min="6" max="6" width="12.140625" style="0" customWidth="1"/>
    <col min="7" max="7" width="12.7109375" style="0" bestFit="1" customWidth="1"/>
  </cols>
  <sheetData>
    <row r="1" ht="12.75">
      <c r="B1" s="1" t="s">
        <v>1</v>
      </c>
    </row>
    <row r="2" ht="12.75">
      <c r="B2" s="2">
        <f>COUNTA(TickerSymbols)</f>
        <v>14</v>
      </c>
    </row>
    <row r="4" spans="2:4" ht="25.5">
      <c r="B4" s="5" t="s">
        <v>0</v>
      </c>
      <c r="C4" s="6" t="s">
        <v>3</v>
      </c>
      <c r="D4" s="6" t="s">
        <v>2</v>
      </c>
    </row>
    <row r="5" spans="1:7" ht="12.75">
      <c r="A5" t="s">
        <v>5</v>
      </c>
      <c r="B5" s="89" t="s">
        <v>101</v>
      </c>
      <c r="C5" s="3">
        <v>43006</v>
      </c>
      <c r="D5" s="4">
        <v>66.65</v>
      </c>
      <c r="E5" s="89"/>
      <c r="G5" t="s">
        <v>24</v>
      </c>
    </row>
    <row r="6" spans="2:5" ht="12.75">
      <c r="B6" s="89" t="s">
        <v>78</v>
      </c>
      <c r="C6" s="3">
        <v>43006</v>
      </c>
      <c r="D6" s="4">
        <v>28.23</v>
      </c>
      <c r="E6" s="89"/>
    </row>
    <row r="7" spans="2:5" ht="12.75">
      <c r="B7" s="89" t="s">
        <v>100</v>
      </c>
      <c r="C7" s="3">
        <v>43006</v>
      </c>
      <c r="D7" s="4">
        <v>85.13</v>
      </c>
      <c r="E7" s="89"/>
    </row>
    <row r="8" spans="2:5" ht="12.75">
      <c r="B8" s="89" t="s">
        <v>80</v>
      </c>
      <c r="C8" s="3">
        <v>43006</v>
      </c>
      <c r="D8" s="4">
        <v>167.8495</v>
      </c>
      <c r="E8" s="89"/>
    </row>
    <row r="9" spans="2:5" ht="12.75">
      <c r="B9" s="89" t="s">
        <v>103</v>
      </c>
      <c r="C9" s="3">
        <v>43006</v>
      </c>
      <c r="D9" s="4">
        <v>177.35</v>
      </c>
      <c r="E9" s="89"/>
    </row>
    <row r="10" spans="2:5" ht="12.75">
      <c r="B10" s="89" t="s">
        <v>57</v>
      </c>
      <c r="C10" s="3">
        <v>43006</v>
      </c>
      <c r="D10" s="4">
        <v>19.77</v>
      </c>
      <c r="E10" s="89"/>
    </row>
    <row r="11" spans="2:5" ht="12.75">
      <c r="B11" s="89" t="s">
        <v>75</v>
      </c>
      <c r="C11" s="3">
        <v>43006</v>
      </c>
      <c r="D11" s="4">
        <v>960.665</v>
      </c>
      <c r="E11" s="89"/>
    </row>
    <row r="12" spans="2:5" ht="12.75">
      <c r="B12" s="89" t="s">
        <v>97</v>
      </c>
      <c r="C12" s="3">
        <v>43006</v>
      </c>
      <c r="D12" s="4">
        <v>18.47</v>
      </c>
      <c r="E12" s="89"/>
    </row>
    <row r="13" spans="2:5" ht="12.75">
      <c r="B13" s="89" t="s">
        <v>74</v>
      </c>
      <c r="C13" s="3">
        <v>43006</v>
      </c>
      <c r="D13" s="4">
        <v>117.67</v>
      </c>
      <c r="E13" s="89"/>
    </row>
    <row r="14" spans="2:5" ht="12.75">
      <c r="B14" s="89" t="s">
        <v>58</v>
      </c>
      <c r="C14" s="3">
        <v>43006</v>
      </c>
      <c r="D14" s="4">
        <v>35.605</v>
      </c>
      <c r="E14" s="89"/>
    </row>
    <row r="15" spans="2:5" ht="12.75">
      <c r="B15" s="89" t="s">
        <v>102</v>
      </c>
      <c r="C15" s="3">
        <v>43006</v>
      </c>
      <c r="D15" s="4">
        <v>47.37</v>
      </c>
      <c r="E15" s="89"/>
    </row>
    <row r="16" spans="2:7" ht="12.75">
      <c r="B16" s="89" t="s">
        <v>95</v>
      </c>
      <c r="C16" s="3">
        <v>43006</v>
      </c>
      <c r="D16" s="4">
        <v>54.69</v>
      </c>
      <c r="E16" s="89"/>
      <c r="G16" t="s">
        <v>25</v>
      </c>
    </row>
    <row r="17" spans="2:7" ht="12.75">
      <c r="B17" s="89" t="s">
        <v>60</v>
      </c>
      <c r="C17" s="3">
        <v>43006</v>
      </c>
      <c r="D17" s="4">
        <v>36.55</v>
      </c>
      <c r="E17" s="89"/>
      <c r="G17" t="s">
        <v>26</v>
      </c>
    </row>
    <row r="18" spans="1:7" ht="12.75">
      <c r="A18" t="s">
        <v>6</v>
      </c>
      <c r="B18" s="89" t="s">
        <v>98</v>
      </c>
      <c r="C18" s="3">
        <v>43006</v>
      </c>
      <c r="D18" s="4">
        <v>63.12</v>
      </c>
      <c r="E18" s="10"/>
      <c r="G18" t="s">
        <v>27</v>
      </c>
    </row>
    <row r="19" spans="2:5" ht="12.75">
      <c r="B19" s="10"/>
      <c r="E19" s="10"/>
    </row>
    <row r="20" spans="2:5" ht="12.75">
      <c r="B20" s="10"/>
      <c r="E20" s="10"/>
    </row>
    <row r="21" spans="2:5" ht="12.75">
      <c r="B21" s="10"/>
      <c r="E21" s="89"/>
    </row>
    <row r="22" spans="2:5" ht="12.75">
      <c r="B22" s="10"/>
      <c r="E22" s="10"/>
    </row>
    <row r="23" spans="2:5" ht="12.75">
      <c r="B23" s="10"/>
      <c r="E23" s="10"/>
    </row>
    <row r="24" spans="2:5" ht="12.75">
      <c r="B24" s="89"/>
      <c r="E24" s="10"/>
    </row>
    <row r="25" spans="2:5" ht="12.75">
      <c r="B25" s="10"/>
      <c r="E25" s="89"/>
    </row>
    <row r="26" spans="2:5" ht="12.75">
      <c r="B26" s="10"/>
      <c r="E26" s="10"/>
    </row>
    <row r="27" spans="2:5" ht="12.75">
      <c r="B27" s="10"/>
      <c r="E27" s="10"/>
    </row>
    <row r="28" spans="2:5" ht="12.75">
      <c r="B28" s="10"/>
      <c r="E28" s="10"/>
    </row>
    <row r="29" spans="2:5" ht="12.75">
      <c r="B29" s="89"/>
      <c r="E29" s="10"/>
    </row>
    <row r="30" spans="2:5" ht="12.75">
      <c r="B30" s="10"/>
      <c r="E30" s="10"/>
    </row>
    <row r="31" spans="2:5" ht="12.75">
      <c r="B31" s="89"/>
      <c r="E31" s="10"/>
    </row>
    <row r="32" spans="2:5" ht="12.75">
      <c r="B32" s="10"/>
      <c r="E32" s="10"/>
    </row>
    <row r="33" spans="2:5" ht="12.75">
      <c r="B33" s="10"/>
      <c r="E33" s="10"/>
    </row>
    <row r="34" spans="2:5" ht="12.75">
      <c r="B34" s="10"/>
      <c r="E34" s="10"/>
    </row>
    <row r="35" ht="12.75">
      <c r="B35" s="10"/>
    </row>
    <row r="36" ht="12.75">
      <c r="B36" s="10"/>
    </row>
    <row r="37" ht="12.75">
      <c r="B37" s="89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89"/>
    </row>
    <row r="43" ht="12.75">
      <c r="B43" s="10"/>
    </row>
    <row r="44" ht="12.75">
      <c r="B44" s="89"/>
    </row>
    <row r="45" ht="12.75">
      <c r="B45" s="10"/>
    </row>
    <row r="46" ht="12.75">
      <c r="B46" s="10"/>
    </row>
    <row r="47" ht="12.75">
      <c r="B47" s="10"/>
    </row>
    <row r="48" ht="12.75">
      <c r="B48" s="89"/>
    </row>
    <row r="49" ht="12.75">
      <c r="B49" s="10"/>
    </row>
    <row r="50" ht="12.75">
      <c r="B50" s="28"/>
    </row>
    <row r="51" ht="12.75">
      <c r="B51" s="10"/>
    </row>
    <row r="52" ht="12.75">
      <c r="B52" s="10"/>
    </row>
    <row r="53" ht="12.75">
      <c r="B53" s="28"/>
    </row>
    <row r="54" ht="12.75">
      <c r="B54" s="10"/>
    </row>
    <row r="55" ht="12.75">
      <c r="B55" s="28"/>
    </row>
    <row r="56" ht="12.75">
      <c r="B56" s="10"/>
    </row>
    <row r="57" ht="12.75">
      <c r="B57" s="10"/>
    </row>
    <row r="58" ht="12.75">
      <c r="B58" s="28"/>
    </row>
    <row r="59" ht="12.75">
      <c r="B59" s="10"/>
    </row>
    <row r="60" ht="12.75">
      <c r="B60" s="10"/>
    </row>
    <row r="61" ht="12.75">
      <c r="B61" s="10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">
    <tabColor theme="0"/>
  </sheetPr>
  <dimension ref="A1:F2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4" max="5" width="11.28125" style="0" customWidth="1"/>
    <col min="6" max="6" width="64.8515625" style="0" customWidth="1"/>
  </cols>
  <sheetData>
    <row r="1" spans="1:6" ht="18" customHeight="1">
      <c r="A1" s="121" t="s">
        <v>51</v>
      </c>
      <c r="B1" s="121" t="s">
        <v>52</v>
      </c>
      <c r="C1" s="121" t="s">
        <v>0</v>
      </c>
      <c r="D1" s="121" t="s">
        <v>53</v>
      </c>
      <c r="E1" s="121" t="s">
        <v>13</v>
      </c>
      <c r="F1" s="122" t="s">
        <v>54</v>
      </c>
    </row>
    <row r="2" spans="1:6" ht="12.75">
      <c r="A2" s="27">
        <v>41564</v>
      </c>
      <c r="B2" s="120">
        <v>42081</v>
      </c>
      <c r="C2" t="s">
        <v>43</v>
      </c>
      <c r="D2">
        <v>17.28558</v>
      </c>
      <c r="F2" s="83" t="s">
        <v>55</v>
      </c>
    </row>
    <row r="3" spans="1:6" ht="12.75">
      <c r="A3" s="27"/>
      <c r="B3" s="27">
        <v>42172</v>
      </c>
      <c r="C3" s="83" t="s">
        <v>46</v>
      </c>
      <c r="D3">
        <v>39.09251</v>
      </c>
      <c r="E3">
        <v>46.4</v>
      </c>
      <c r="F3" t="s">
        <v>63</v>
      </c>
    </row>
    <row r="4" spans="1:6" ht="12.75">
      <c r="A4" s="27"/>
      <c r="B4" s="27">
        <v>42172</v>
      </c>
      <c r="C4" s="83" t="s">
        <v>48</v>
      </c>
      <c r="D4">
        <v>10.36485</v>
      </c>
      <c r="E4">
        <v>71.35</v>
      </c>
      <c r="F4" t="s">
        <v>62</v>
      </c>
    </row>
    <row r="5" spans="1:6" ht="12.75">
      <c r="A5" s="27"/>
      <c r="B5" s="27">
        <v>42172</v>
      </c>
      <c r="C5" s="83" t="s">
        <v>49</v>
      </c>
      <c r="D5">
        <v>12.09476</v>
      </c>
      <c r="E5">
        <v>89.87</v>
      </c>
      <c r="F5" t="s">
        <v>62</v>
      </c>
    </row>
    <row r="6" spans="1:6" ht="12.75">
      <c r="A6" s="27"/>
      <c r="B6" s="27">
        <v>42172</v>
      </c>
      <c r="C6" s="83" t="s">
        <v>47</v>
      </c>
      <c r="D6">
        <v>16.4663</v>
      </c>
      <c r="E6">
        <v>49.26</v>
      </c>
      <c r="F6" t="s">
        <v>62</v>
      </c>
    </row>
    <row r="7" spans="1:6" ht="12.75">
      <c r="A7" s="27"/>
      <c r="B7" s="27">
        <v>42235</v>
      </c>
      <c r="C7" s="83" t="s">
        <v>50</v>
      </c>
      <c r="D7">
        <v>18.27629</v>
      </c>
      <c r="E7">
        <v>68.698</v>
      </c>
      <c r="F7" t="s">
        <v>62</v>
      </c>
    </row>
    <row r="8" spans="1:6" ht="12.75">
      <c r="A8" s="27"/>
      <c r="B8" s="27">
        <v>42235</v>
      </c>
      <c r="C8" s="83" t="s">
        <v>42</v>
      </c>
      <c r="D8">
        <v>41.93198</v>
      </c>
      <c r="E8">
        <v>61.5</v>
      </c>
      <c r="F8" t="s">
        <v>62</v>
      </c>
    </row>
    <row r="9" spans="1:6" ht="12.75">
      <c r="A9" s="27"/>
      <c r="B9" s="27">
        <v>42326</v>
      </c>
      <c r="C9" s="83" t="s">
        <v>61</v>
      </c>
      <c r="D9">
        <v>64.0696</v>
      </c>
      <c r="E9">
        <v>43.7601</v>
      </c>
      <c r="F9" t="s">
        <v>62</v>
      </c>
    </row>
    <row r="10" spans="1:6" ht="12.75">
      <c r="A10" s="27"/>
      <c r="B10" s="27">
        <v>42326</v>
      </c>
      <c r="C10" s="83" t="s">
        <v>59</v>
      </c>
      <c r="D10">
        <v>62.99737</v>
      </c>
      <c r="E10">
        <v>30.1301</v>
      </c>
      <c r="F10" t="s">
        <v>62</v>
      </c>
    </row>
    <row r="11" spans="1:6" ht="12.75">
      <c r="A11" s="27"/>
      <c r="B11" s="27">
        <v>42326</v>
      </c>
      <c r="C11" s="83" t="s">
        <v>44</v>
      </c>
      <c r="D11">
        <v>31.68992</v>
      </c>
      <c r="E11">
        <v>75.71249</v>
      </c>
      <c r="F11" t="s">
        <v>62</v>
      </c>
    </row>
    <row r="12" spans="1:6" ht="12.75">
      <c r="A12" s="27"/>
      <c r="B12" s="27">
        <v>42446</v>
      </c>
      <c r="C12" s="83" t="s">
        <v>69</v>
      </c>
      <c r="D12">
        <v>142.8307</v>
      </c>
      <c r="E12">
        <v>25.58</v>
      </c>
      <c r="F12" s="83" t="s">
        <v>76</v>
      </c>
    </row>
    <row r="13" spans="1:6" ht="12.75">
      <c r="A13" s="27"/>
      <c r="B13" s="27">
        <v>42451</v>
      </c>
      <c r="C13" s="83" t="s">
        <v>56</v>
      </c>
      <c r="D13">
        <v>78.16325</v>
      </c>
      <c r="E13">
        <v>48.94005</v>
      </c>
      <c r="F13" s="83" t="s">
        <v>76</v>
      </c>
    </row>
    <row r="14" spans="1:6" ht="12.75">
      <c r="A14" s="27"/>
      <c r="B14" s="27">
        <v>42753</v>
      </c>
      <c r="C14" s="83" t="s">
        <v>45</v>
      </c>
      <c r="D14">
        <v>52.5303</v>
      </c>
      <c r="E14">
        <v>57.38</v>
      </c>
      <c r="F14" s="83" t="s">
        <v>94</v>
      </c>
    </row>
    <row r="15" spans="1:6" ht="12.75">
      <c r="A15" s="27"/>
      <c r="B15" s="27">
        <v>42791</v>
      </c>
      <c r="C15" s="83" t="s">
        <v>79</v>
      </c>
      <c r="D15">
        <v>74.25791</v>
      </c>
      <c r="E15">
        <v>58.06</v>
      </c>
      <c r="F15" s="83" t="s">
        <v>62</v>
      </c>
    </row>
    <row r="16" spans="1:4" ht="12.75">
      <c r="A16" s="27"/>
      <c r="B16" s="27">
        <v>42964</v>
      </c>
      <c r="C16" s="83" t="s">
        <v>70</v>
      </c>
      <c r="D16">
        <v>85.54092</v>
      </c>
    </row>
    <row r="17" spans="1:6" ht="12.75">
      <c r="A17" s="27"/>
      <c r="B17" s="27">
        <v>42999</v>
      </c>
      <c r="C17" s="83" t="s">
        <v>81</v>
      </c>
      <c r="D17">
        <v>85.26057</v>
      </c>
      <c r="E17">
        <v>51.55</v>
      </c>
      <c r="F17" t="s">
        <v>62</v>
      </c>
    </row>
    <row r="18" spans="1:2" ht="12.75">
      <c r="A18" s="27"/>
      <c r="B18" s="27"/>
    </row>
    <row r="19" spans="1:2" ht="12.75">
      <c r="A19" s="27"/>
      <c r="B19" s="27"/>
    </row>
    <row r="20" spans="1:2" ht="12.75">
      <c r="A20" s="27"/>
      <c r="B20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2">
    <tabColor indexed="47"/>
  </sheetPr>
  <dimension ref="A1:L5"/>
  <sheetViews>
    <sheetView zoomScalePageLayoutView="0" workbookViewId="0" topLeftCell="A1">
      <selection activeCell="G3" sqref="G3"/>
    </sheetView>
  </sheetViews>
  <sheetFormatPr defaultColWidth="9.140625" defaultRowHeight="12.75"/>
  <cols>
    <col min="4" max="4" width="10.00390625" style="0" bestFit="1" customWidth="1"/>
    <col min="5" max="5" width="9.7109375" style="0" bestFit="1" customWidth="1"/>
    <col min="6" max="6" width="10.00390625" style="0" bestFit="1" customWidth="1"/>
  </cols>
  <sheetData>
    <row r="1" spans="1:11" ht="13.5" thickBot="1">
      <c r="A1" s="16" t="s">
        <v>8</v>
      </c>
      <c r="B1" s="65" t="s">
        <v>4</v>
      </c>
      <c r="C1" s="18" t="s">
        <v>9</v>
      </c>
      <c r="D1" s="74" t="s">
        <v>10</v>
      </c>
      <c r="E1" s="75" t="s">
        <v>11</v>
      </c>
      <c r="F1" s="76" t="s">
        <v>12</v>
      </c>
      <c r="G1" s="77" t="s">
        <v>13</v>
      </c>
      <c r="H1" s="78" t="s">
        <v>14</v>
      </c>
      <c r="I1" s="79" t="s">
        <v>15</v>
      </c>
      <c r="J1" s="80" t="s">
        <v>16</v>
      </c>
      <c r="K1" s="69" t="s">
        <v>29</v>
      </c>
    </row>
    <row r="2" spans="1:12" ht="14.25">
      <c r="A2" s="25" t="s">
        <v>82</v>
      </c>
      <c r="B2" s="27"/>
      <c r="C2" s="10"/>
      <c r="D2" s="34"/>
      <c r="E2" s="35"/>
      <c r="F2" s="36"/>
      <c r="G2" s="81"/>
      <c r="H2" s="64"/>
      <c r="I2" s="38"/>
      <c r="J2" s="39"/>
      <c r="K2" s="82"/>
      <c r="L2" s="73"/>
    </row>
    <row r="3" spans="1:12" ht="12.75">
      <c r="A3" s="8"/>
      <c r="B3" s="27">
        <v>42999</v>
      </c>
      <c r="C3" s="113" t="s">
        <v>101</v>
      </c>
      <c r="D3" s="129">
        <v>61.30278</v>
      </c>
      <c r="E3" s="40">
        <v>4000</v>
      </c>
      <c r="F3" s="41">
        <f>E3/D3</f>
        <v>65.24989568172929</v>
      </c>
      <c r="G3" s="37">
        <f>VLOOKUP(C3,'Stock Prices'!$B$5:$D$18,3,FALSE)</f>
        <v>66.65</v>
      </c>
      <c r="H3" s="63">
        <f>G3*D3</f>
        <v>4085.830287</v>
      </c>
      <c r="I3" s="42">
        <f>H3-E3</f>
        <v>85.83028700000023</v>
      </c>
      <c r="J3" s="43">
        <f>I3/E3</f>
        <v>0.021457571750000057</v>
      </c>
      <c r="K3" s="101">
        <f>(($H3/$E3)^(365/(TODAY()-$B3)))-1</f>
        <v>2.0253418689067817</v>
      </c>
      <c r="L3" s="73"/>
    </row>
    <row r="4" spans="1:11" ht="15">
      <c r="A4" s="8"/>
      <c r="B4" s="27">
        <f ca="1">TODAY()</f>
        <v>43006</v>
      </c>
      <c r="C4" s="10"/>
      <c r="D4" s="106">
        <f ca="1">SUM(D3:OFFSET(D4,-1,0))</f>
        <v>61.30278</v>
      </c>
      <c r="E4" s="68">
        <f>-H4</f>
        <v>-4085.830287</v>
      </c>
      <c r="F4" s="30">
        <f>E5/D4</f>
        <v>65.24989568172929</v>
      </c>
      <c r="G4" s="44">
        <f>G3</f>
        <v>66.65</v>
      </c>
      <c r="H4" s="62">
        <f>D4*G4</f>
        <v>4085.830287</v>
      </c>
      <c r="I4" s="45">
        <f>H4-E5</f>
        <v>85.83028700000023</v>
      </c>
      <c r="J4" s="46">
        <f>I4/E5</f>
        <v>0.021457571750000057</v>
      </c>
      <c r="K4" s="71">
        <f>XIRR(E3:E4,B3:B4)</f>
        <v>2.0253418684005737</v>
      </c>
    </row>
    <row r="5" ht="12.75">
      <c r="E5" s="29">
        <f ca="1">SUM(E3:OFFSET(E5,-2,0))</f>
        <v>4000</v>
      </c>
    </row>
  </sheetData>
  <sheetProtection/>
  <conditionalFormatting sqref="K1:K2 K4">
    <cfRule type="cellIs" priority="3" dxfId="1" operator="greaterThan" stopIfTrue="1">
      <formula>0</formula>
    </cfRule>
    <cfRule type="cellIs" priority="4" dxfId="0" operator="lessThanOrEqual" stopIfTrue="1">
      <formula>0</formula>
    </cfRule>
  </conditionalFormatting>
  <conditionalFormatting sqref="I1:I4">
    <cfRule type="cellIs" priority="5" dxfId="1" operator="greaterThanOrEqual" stopIfTrue="1">
      <formula>0</formula>
    </cfRule>
    <cfRule type="cellIs" priority="6" dxfId="0" operator="lessThan" stopIfTrue="1">
      <formula>0</formula>
    </cfRule>
  </conditionalFormatting>
  <conditionalFormatting sqref="J1:J2">
    <cfRule type="cellIs" priority="7" dxfId="1" operator="greaterThanOrEqual" stopIfTrue="1">
      <formula>0.1</formula>
    </cfRule>
    <cfRule type="cellIs" priority="8" dxfId="3" operator="between" stopIfTrue="1">
      <formula>0</formula>
      <formula>-2</formula>
    </cfRule>
    <cfRule type="cellIs" priority="9" dxfId="2" operator="between" stopIfTrue="1">
      <formula>0</formula>
      <formula>0.1</formula>
    </cfRule>
  </conditionalFormatting>
  <conditionalFormatting sqref="J3:J4">
    <cfRule type="cellIs" priority="10" dxfId="7" operator="greaterThanOrEqual" stopIfTrue="1">
      <formula>0.5</formula>
    </cfRule>
    <cfRule type="cellIs" priority="11" dxfId="3" operator="lessThan" stopIfTrue="1">
      <formula>0.0001</formula>
    </cfRule>
    <cfRule type="cellIs" priority="12" dxfId="2" operator="greaterThanOrEqual" stopIfTrue="1">
      <formula>0.0001</formula>
    </cfRule>
  </conditionalFormatting>
  <conditionalFormatting sqref="J3">
    <cfRule type="cellIs" priority="13" dxfId="2" operator="greaterThanOrEqual" stopIfTrue="1">
      <formula>0.5</formula>
    </cfRule>
    <cfRule type="cellIs" priority="14" dxfId="3" operator="lessThan" stopIfTrue="1">
      <formula>0.0001</formula>
    </cfRule>
    <cfRule type="cellIs" priority="15" dxfId="2" operator="greaterThanOrEqual" stopIfTrue="1">
      <formula>0.0001</formula>
    </cfRule>
  </conditionalFormatting>
  <conditionalFormatting sqref="K3">
    <cfRule type="cellIs" priority="1" dxfId="1" operator="greaterThan" stopIfTrue="1">
      <formula>0</formula>
    </cfRule>
    <cfRule type="cellIs" priority="2" dxfId="0" operator="lessThanOr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6">
    <tabColor indexed="47"/>
  </sheetPr>
  <dimension ref="A1:M9"/>
  <sheetViews>
    <sheetView zoomScalePageLayoutView="0" workbookViewId="0" topLeftCell="A1">
      <selection activeCell="E9" sqref="E9"/>
    </sheetView>
  </sheetViews>
  <sheetFormatPr defaultColWidth="9.140625" defaultRowHeight="12.75"/>
  <cols>
    <col min="4" max="4" width="10.00390625" style="0" bestFit="1" customWidth="1"/>
    <col min="5" max="5" width="9.7109375" style="0" bestFit="1" customWidth="1"/>
    <col min="6" max="6" width="10.00390625" style="0" bestFit="1" customWidth="1"/>
    <col min="11" max="11" width="9.8515625" style="0" customWidth="1"/>
  </cols>
  <sheetData>
    <row r="1" spans="1:11" ht="13.5" thickBot="1">
      <c r="A1" s="16" t="s">
        <v>8</v>
      </c>
      <c r="B1" s="65" t="s">
        <v>4</v>
      </c>
      <c r="C1" s="18" t="s">
        <v>9</v>
      </c>
      <c r="D1" s="74" t="s">
        <v>10</v>
      </c>
      <c r="E1" s="75" t="s">
        <v>11</v>
      </c>
      <c r="F1" s="76" t="s">
        <v>12</v>
      </c>
      <c r="G1" s="77" t="s">
        <v>13</v>
      </c>
      <c r="H1" s="78" t="s">
        <v>14</v>
      </c>
      <c r="I1" s="79" t="s">
        <v>15</v>
      </c>
      <c r="J1" s="80" t="s">
        <v>16</v>
      </c>
      <c r="K1" s="69" t="s">
        <v>29</v>
      </c>
    </row>
    <row r="2" spans="1:12" ht="14.25">
      <c r="A2" s="25" t="s">
        <v>84</v>
      </c>
      <c r="B2" s="27"/>
      <c r="C2" s="10"/>
      <c r="D2" s="34"/>
      <c r="E2" s="35"/>
      <c r="F2" s="36"/>
      <c r="G2" s="81"/>
      <c r="H2" s="64"/>
      <c r="I2" s="38"/>
      <c r="J2" s="39"/>
      <c r="K2" s="82"/>
      <c r="L2" s="73"/>
    </row>
    <row r="3" spans="1:12" ht="12.75">
      <c r="A3" s="8"/>
      <c r="B3" s="123">
        <v>42536</v>
      </c>
      <c r="C3" s="113" t="s">
        <v>78</v>
      </c>
      <c r="D3" s="128">
        <v>62.64017</v>
      </c>
      <c r="E3" s="35">
        <v>1120</v>
      </c>
      <c r="F3" s="36">
        <f>E3/D3</f>
        <v>17.879900389797793</v>
      </c>
      <c r="G3" s="37">
        <f>VLOOKUP(C3,'Stock Prices'!$B$5:$D$18,3,FALSE)</f>
        <v>28.23</v>
      </c>
      <c r="H3" s="64">
        <f>G3*D3</f>
        <v>1768.3319990999998</v>
      </c>
      <c r="I3" s="38">
        <f>H3-E3</f>
        <v>648.3319990999998</v>
      </c>
      <c r="J3" s="39">
        <f>I3/E3</f>
        <v>0.5788678563392856</v>
      </c>
      <c r="K3" s="72">
        <f>(($H3/$E3)^(365/(TODAY()-$B3)))-1</f>
        <v>0.4257208182587706</v>
      </c>
      <c r="L3" s="73"/>
    </row>
    <row r="4" spans="1:13" ht="12.75">
      <c r="A4" s="8"/>
      <c r="B4" s="27">
        <v>42572</v>
      </c>
      <c r="C4" s="113" t="s">
        <v>78</v>
      </c>
      <c r="D4" s="128">
        <v>21.00729</v>
      </c>
      <c r="E4" s="35">
        <v>348.7</v>
      </c>
      <c r="F4" s="36">
        <f>E4/D4</f>
        <v>16.59899968058707</v>
      </c>
      <c r="G4" s="37">
        <f>VLOOKUP(C4,'Stock Prices'!$B$5:$D$18,3,FALSE)</f>
        <v>28.23</v>
      </c>
      <c r="H4" s="64">
        <f>G4*D4</f>
        <v>593.0357967</v>
      </c>
      <c r="I4" s="38">
        <f>H4-E4</f>
        <v>244.3357967</v>
      </c>
      <c r="J4" s="39">
        <f>I4/E4</f>
        <v>0.7007048944651564</v>
      </c>
      <c r="K4" s="72">
        <f>(($H4/$E4)^(365/(TODAY()-$B4)))-1</f>
        <v>0.5630113981746412</v>
      </c>
      <c r="L4" s="73"/>
      <c r="M4" s="73"/>
    </row>
    <row r="5" spans="1:12" ht="12.75">
      <c r="A5" s="8"/>
      <c r="B5" s="123">
        <v>42601</v>
      </c>
      <c r="C5" s="113" t="s">
        <v>78</v>
      </c>
      <c r="D5" s="128">
        <v>60.85829</v>
      </c>
      <c r="E5" s="35">
        <v>1156.91</v>
      </c>
      <c r="F5" s="36">
        <f>E5/D5</f>
        <v>19.00989988381205</v>
      </c>
      <c r="G5" s="37">
        <f>VLOOKUP(C5,'Stock Prices'!$B$5:$D$18,3,FALSE)</f>
        <v>28.23</v>
      </c>
      <c r="H5" s="64">
        <f>G5*D5</f>
        <v>1718.0295267</v>
      </c>
      <c r="I5" s="38">
        <f>H5-E5</f>
        <v>561.1195266999998</v>
      </c>
      <c r="J5" s="39">
        <f>I5/E5</f>
        <v>0.4850157114209401</v>
      </c>
      <c r="K5" s="101">
        <f>(($H5/$E5)^(365/(TODAY()-$B5)))-1</f>
        <v>0.42813728392570316</v>
      </c>
      <c r="L5" s="73"/>
    </row>
    <row r="6" spans="1:12" ht="12.75">
      <c r="A6" s="8"/>
      <c r="B6" s="123">
        <v>42662</v>
      </c>
      <c r="C6" s="113" t="s">
        <v>78</v>
      </c>
      <c r="D6" s="128">
        <v>4.48634</v>
      </c>
      <c r="E6" s="35">
        <v>100</v>
      </c>
      <c r="F6" s="36">
        <f>E6/D6</f>
        <v>22.289884404659475</v>
      </c>
      <c r="G6" s="37">
        <f>VLOOKUP(C6,'Stock Prices'!$B$5:$D$18,3,FALSE)</f>
        <v>28.23</v>
      </c>
      <c r="H6" s="64">
        <f>G6*D6</f>
        <v>126.6493782</v>
      </c>
      <c r="I6" s="38">
        <f>H6-E6</f>
        <v>26.6493782</v>
      </c>
      <c r="J6" s="39">
        <f>I6/E6</f>
        <v>0.266493782</v>
      </c>
      <c r="K6" s="101">
        <f>(($H6/$E6)^(365/(TODAY()-$B6)))-1</f>
        <v>0.2848919875905158</v>
      </c>
      <c r="L6" s="73"/>
    </row>
    <row r="7" spans="1:12" ht="12.75">
      <c r="A7" s="8"/>
      <c r="B7" s="27">
        <v>42872</v>
      </c>
      <c r="C7" s="113" t="s">
        <v>78</v>
      </c>
      <c r="D7" s="129">
        <v>54.8544</v>
      </c>
      <c r="E7" s="40">
        <v>1260</v>
      </c>
      <c r="F7" s="41">
        <f>E7/D7</f>
        <v>22.969898494924745</v>
      </c>
      <c r="G7" s="37">
        <f>VLOOKUP(C7,'Stock Prices'!$B$5:$D$18,3,FALSE)</f>
        <v>28.23</v>
      </c>
      <c r="H7" s="63">
        <f>G7*D7</f>
        <v>1548.539712</v>
      </c>
      <c r="I7" s="42">
        <f>H7-E7</f>
        <v>288.539712</v>
      </c>
      <c r="J7" s="43">
        <f>I7/E7</f>
        <v>0.22899977142857145</v>
      </c>
      <c r="K7" s="101">
        <f>(($H7/$E7)^(365/(TODAY()-$B7)))-1</f>
        <v>0.7535914374594752</v>
      </c>
      <c r="L7" s="73"/>
    </row>
    <row r="8" spans="1:11" ht="15">
      <c r="A8" s="8"/>
      <c r="B8" s="27">
        <f ca="1">TODAY()</f>
        <v>43006</v>
      </c>
      <c r="C8" s="10"/>
      <c r="D8" s="106">
        <f ca="1">SUM(D3:OFFSET(D8,-1,0))</f>
        <v>203.84649</v>
      </c>
      <c r="E8" s="68">
        <f>-H8</f>
        <v>-5754.5864126999995</v>
      </c>
      <c r="F8" s="30">
        <f>E9/D8</f>
        <v>19.552016814221332</v>
      </c>
      <c r="G8" s="44">
        <f>G3</f>
        <v>28.23</v>
      </c>
      <c r="H8" s="62">
        <f>D8*G8</f>
        <v>5754.5864126999995</v>
      </c>
      <c r="I8" s="45">
        <f>H8-E9</f>
        <v>1768.9764126999994</v>
      </c>
      <c r="J8" s="46">
        <f>I8/E9</f>
        <v>0.44384082052684515</v>
      </c>
      <c r="K8" s="71">
        <f>XIRR(E3:E8,B3:B8)</f>
        <v>0.46862388253211973</v>
      </c>
    </row>
    <row r="9" ht="12.75">
      <c r="E9" s="29">
        <f ca="1">SUM(E3:OFFSET(E9,-2,0))</f>
        <v>3985.61</v>
      </c>
    </row>
  </sheetData>
  <sheetProtection/>
  <conditionalFormatting sqref="K1:K2 K8">
    <cfRule type="cellIs" priority="93" dxfId="1" operator="greaterThan" stopIfTrue="1">
      <formula>0</formula>
    </cfRule>
    <cfRule type="cellIs" priority="94" dxfId="0" operator="lessThanOrEqual" stopIfTrue="1">
      <formula>0</formula>
    </cfRule>
  </conditionalFormatting>
  <conditionalFormatting sqref="I1:I2 I8">
    <cfRule type="cellIs" priority="95" dxfId="1" operator="greaterThanOrEqual" stopIfTrue="1">
      <formula>0</formula>
    </cfRule>
    <cfRule type="cellIs" priority="96" dxfId="0" operator="lessThan" stopIfTrue="1">
      <formula>0</formula>
    </cfRule>
  </conditionalFormatting>
  <conditionalFormatting sqref="J1:J2">
    <cfRule type="cellIs" priority="97" dxfId="1" operator="greaterThanOrEqual" stopIfTrue="1">
      <formula>0.1</formula>
    </cfRule>
    <cfRule type="cellIs" priority="98" dxfId="3" operator="between" stopIfTrue="1">
      <formula>0</formula>
      <formula>-2</formula>
    </cfRule>
    <cfRule type="cellIs" priority="99" dxfId="2" operator="between" stopIfTrue="1">
      <formula>0</formula>
      <formula>0.1</formula>
    </cfRule>
  </conditionalFormatting>
  <conditionalFormatting sqref="J8">
    <cfRule type="cellIs" priority="100" dxfId="7" operator="greaterThanOrEqual" stopIfTrue="1">
      <formula>0.5</formula>
    </cfRule>
    <cfRule type="cellIs" priority="101" dxfId="3" operator="lessThan" stopIfTrue="1">
      <formula>0.0001</formula>
    </cfRule>
    <cfRule type="cellIs" priority="102" dxfId="2" operator="greaterThanOrEqual" stopIfTrue="1">
      <formula>0.0001</formula>
    </cfRule>
  </conditionalFormatting>
  <conditionalFormatting sqref="K3">
    <cfRule type="cellIs" priority="43" dxfId="1" operator="greaterThan" stopIfTrue="1">
      <formula>0</formula>
    </cfRule>
    <cfRule type="cellIs" priority="44" dxfId="0" operator="lessThanOrEqual" stopIfTrue="1">
      <formula>0</formula>
    </cfRule>
  </conditionalFormatting>
  <conditionalFormatting sqref="I3">
    <cfRule type="cellIs" priority="45" dxfId="1" operator="greaterThanOrEqual" stopIfTrue="1">
      <formula>0</formula>
    </cfRule>
    <cfRule type="cellIs" priority="46" dxfId="0" operator="lessThan" stopIfTrue="1">
      <formula>0</formula>
    </cfRule>
  </conditionalFormatting>
  <conditionalFormatting sqref="J3">
    <cfRule type="cellIs" priority="47" dxfId="7" operator="greaterThanOrEqual" stopIfTrue="1">
      <formula>0.5</formula>
    </cfRule>
    <cfRule type="cellIs" priority="48" dxfId="3" operator="lessThan" stopIfTrue="1">
      <formula>0.0001</formula>
    </cfRule>
    <cfRule type="cellIs" priority="49" dxfId="2" operator="greaterThanOrEqual" stopIfTrue="1">
      <formula>0.0001</formula>
    </cfRule>
  </conditionalFormatting>
  <conditionalFormatting sqref="J3">
    <cfRule type="cellIs" priority="50" dxfId="2" operator="greaterThanOrEqual" stopIfTrue="1">
      <formula>0.5</formula>
    </cfRule>
    <cfRule type="cellIs" priority="51" dxfId="3" operator="lessThan" stopIfTrue="1">
      <formula>0.0001</formula>
    </cfRule>
    <cfRule type="cellIs" priority="52" dxfId="2" operator="greaterThanOrEqual" stopIfTrue="1">
      <formula>0.0001</formula>
    </cfRule>
  </conditionalFormatting>
  <conditionalFormatting sqref="I4">
    <cfRule type="cellIs" priority="35" dxfId="1" operator="greaterThanOrEqual" stopIfTrue="1">
      <formula>0</formula>
    </cfRule>
    <cfRule type="cellIs" priority="36" dxfId="0" operator="lessThan" stopIfTrue="1">
      <formula>0</formula>
    </cfRule>
  </conditionalFormatting>
  <conditionalFormatting sqref="J4">
    <cfRule type="cellIs" priority="37" dxfId="7" operator="greaterThanOrEqual" stopIfTrue="1">
      <formula>0.5</formula>
    </cfRule>
    <cfRule type="cellIs" priority="38" dxfId="3" operator="lessThan" stopIfTrue="1">
      <formula>0.0001</formula>
    </cfRule>
    <cfRule type="cellIs" priority="39" dxfId="2" operator="greaterThanOrEqual" stopIfTrue="1">
      <formula>0.0001</formula>
    </cfRule>
  </conditionalFormatting>
  <conditionalFormatting sqref="J4">
    <cfRule type="cellIs" priority="40" dxfId="2" operator="greaterThanOrEqual" stopIfTrue="1">
      <formula>0.5</formula>
    </cfRule>
    <cfRule type="cellIs" priority="41" dxfId="3" operator="lessThan" stopIfTrue="1">
      <formula>0.0001</formula>
    </cfRule>
    <cfRule type="cellIs" priority="42" dxfId="2" operator="greaterThanOrEqual" stopIfTrue="1">
      <formula>0.0001</formula>
    </cfRule>
  </conditionalFormatting>
  <conditionalFormatting sqref="K5">
    <cfRule type="cellIs" priority="23" dxfId="1" operator="greaterThan" stopIfTrue="1">
      <formula>0</formula>
    </cfRule>
    <cfRule type="cellIs" priority="24" dxfId="0" operator="lessThanOrEqual" stopIfTrue="1">
      <formula>0</formula>
    </cfRule>
  </conditionalFormatting>
  <conditionalFormatting sqref="I5">
    <cfRule type="cellIs" priority="25" dxfId="1" operator="greaterThanOrEqual" stopIfTrue="1">
      <formula>0</formula>
    </cfRule>
    <cfRule type="cellIs" priority="26" dxfId="0" operator="lessThan" stopIfTrue="1">
      <formula>0</formula>
    </cfRule>
  </conditionalFormatting>
  <conditionalFormatting sqref="J5">
    <cfRule type="cellIs" priority="27" dxfId="7" operator="greaterThanOrEqual" stopIfTrue="1">
      <formula>0.5</formula>
    </cfRule>
    <cfRule type="cellIs" priority="28" dxfId="3" operator="lessThan" stopIfTrue="1">
      <formula>0.0001</formula>
    </cfRule>
    <cfRule type="cellIs" priority="29" dxfId="2" operator="greaterThanOrEqual" stopIfTrue="1">
      <formula>0.0001</formula>
    </cfRule>
  </conditionalFormatting>
  <conditionalFormatting sqref="J5">
    <cfRule type="cellIs" priority="30" dxfId="2" operator="greaterThanOrEqual" stopIfTrue="1">
      <formula>0.5</formula>
    </cfRule>
    <cfRule type="cellIs" priority="31" dxfId="3" operator="lessThan" stopIfTrue="1">
      <formula>0.0001</formula>
    </cfRule>
    <cfRule type="cellIs" priority="32" dxfId="2" operator="greaterThanOrEqual" stopIfTrue="1">
      <formula>0.0001</formula>
    </cfRule>
  </conditionalFormatting>
  <conditionalFormatting sqref="K6">
    <cfRule type="cellIs" priority="13" dxfId="1" operator="greaterThan" stopIfTrue="1">
      <formula>0</formula>
    </cfRule>
    <cfRule type="cellIs" priority="14" dxfId="0" operator="lessThanOrEqual" stopIfTrue="1">
      <formula>0</formula>
    </cfRule>
  </conditionalFormatting>
  <conditionalFormatting sqref="I6">
    <cfRule type="cellIs" priority="15" dxfId="1" operator="greaterThanOrEqual" stopIfTrue="1">
      <formula>0</formula>
    </cfRule>
    <cfRule type="cellIs" priority="16" dxfId="0" operator="lessThan" stopIfTrue="1">
      <formula>0</formula>
    </cfRule>
  </conditionalFormatting>
  <conditionalFormatting sqref="J6">
    <cfRule type="cellIs" priority="17" dxfId="7" operator="greaterThanOrEqual" stopIfTrue="1">
      <formula>0.5</formula>
    </cfRule>
    <cfRule type="cellIs" priority="18" dxfId="3" operator="lessThan" stopIfTrue="1">
      <formula>0.0001</formula>
    </cfRule>
    <cfRule type="cellIs" priority="19" dxfId="2" operator="greaterThanOrEqual" stopIfTrue="1">
      <formula>0.0001</formula>
    </cfRule>
  </conditionalFormatting>
  <conditionalFormatting sqref="J6">
    <cfRule type="cellIs" priority="20" dxfId="2" operator="greaterThanOrEqual" stopIfTrue="1">
      <formula>0.5</formula>
    </cfRule>
    <cfRule type="cellIs" priority="21" dxfId="3" operator="lessThan" stopIfTrue="1">
      <formula>0.0001</formula>
    </cfRule>
    <cfRule type="cellIs" priority="22" dxfId="2" operator="greaterThanOrEqual" stopIfTrue="1">
      <formula>0.0001</formula>
    </cfRule>
  </conditionalFormatting>
  <conditionalFormatting sqref="K7">
    <cfRule type="cellIs" priority="3" dxfId="1" operator="greaterThan" stopIfTrue="1">
      <formula>0</formula>
    </cfRule>
    <cfRule type="cellIs" priority="4" dxfId="0" operator="lessThanOrEqual" stopIfTrue="1">
      <formula>0</formula>
    </cfRule>
  </conditionalFormatting>
  <conditionalFormatting sqref="I7">
    <cfRule type="cellIs" priority="5" dxfId="1" operator="greaterThanOrEqual" stopIfTrue="1">
      <formula>0</formula>
    </cfRule>
    <cfRule type="cellIs" priority="6" dxfId="0" operator="lessThan" stopIfTrue="1">
      <formula>0</formula>
    </cfRule>
  </conditionalFormatting>
  <conditionalFormatting sqref="J7">
    <cfRule type="cellIs" priority="7" dxfId="7" operator="greaterThanOrEqual" stopIfTrue="1">
      <formula>0.5</formula>
    </cfRule>
    <cfRule type="cellIs" priority="8" dxfId="3" operator="lessThan" stopIfTrue="1">
      <formula>0.0001</formula>
    </cfRule>
    <cfRule type="cellIs" priority="9" dxfId="2" operator="greaterThanOrEqual" stopIfTrue="1">
      <formula>0.0001</formula>
    </cfRule>
  </conditionalFormatting>
  <conditionalFormatting sqref="J7">
    <cfRule type="cellIs" priority="10" dxfId="2" operator="greaterThanOrEqual" stopIfTrue="1">
      <formula>0.5</formula>
    </cfRule>
    <cfRule type="cellIs" priority="11" dxfId="3" operator="lessThan" stopIfTrue="1">
      <formula>0.0001</formula>
    </cfRule>
    <cfRule type="cellIs" priority="12" dxfId="2" operator="greaterThanOrEqual" stopIfTrue="1">
      <formula>0.0001</formula>
    </cfRule>
  </conditionalFormatting>
  <conditionalFormatting sqref="K4">
    <cfRule type="cellIs" priority="1" dxfId="1" operator="greaterThan" stopIfTrue="1">
      <formula>0</formula>
    </cfRule>
    <cfRule type="cellIs" priority="2" dxfId="0" operator="lessThanOr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0">
    <tabColor indexed="47"/>
  </sheetPr>
  <dimension ref="A1:L5"/>
  <sheetViews>
    <sheetView zoomScalePageLayoutView="0" workbookViewId="0" topLeftCell="A1">
      <selection activeCell="L3" sqref="L3"/>
    </sheetView>
  </sheetViews>
  <sheetFormatPr defaultColWidth="9.140625" defaultRowHeight="12.75"/>
  <cols>
    <col min="4" max="4" width="10.00390625" style="0" bestFit="1" customWidth="1"/>
    <col min="5" max="5" width="9.7109375" style="0" bestFit="1" customWidth="1"/>
    <col min="6" max="6" width="10.00390625" style="0" bestFit="1" customWidth="1"/>
  </cols>
  <sheetData>
    <row r="1" spans="1:11" ht="13.5" thickBot="1">
      <c r="A1" s="16" t="s">
        <v>8</v>
      </c>
      <c r="B1" s="65" t="s">
        <v>4</v>
      </c>
      <c r="C1" s="18" t="s">
        <v>9</v>
      </c>
      <c r="D1" s="74" t="s">
        <v>10</v>
      </c>
      <c r="E1" s="75" t="s">
        <v>11</v>
      </c>
      <c r="F1" s="76" t="s">
        <v>12</v>
      </c>
      <c r="G1" s="77" t="s">
        <v>13</v>
      </c>
      <c r="H1" s="78" t="s">
        <v>14</v>
      </c>
      <c r="I1" s="79" t="s">
        <v>15</v>
      </c>
      <c r="J1" s="80" t="s">
        <v>16</v>
      </c>
      <c r="K1" s="69" t="s">
        <v>29</v>
      </c>
    </row>
    <row r="2" spans="1:12" ht="14.25">
      <c r="A2" s="25" t="s">
        <v>82</v>
      </c>
      <c r="B2" s="27"/>
      <c r="C2" s="10"/>
      <c r="D2" s="34"/>
      <c r="E2" s="35"/>
      <c r="F2" s="36"/>
      <c r="G2" s="81"/>
      <c r="H2" s="64"/>
      <c r="I2" s="38"/>
      <c r="J2" s="39"/>
      <c r="K2" s="82"/>
      <c r="L2" s="73"/>
    </row>
    <row r="3" spans="1:12" ht="12.75">
      <c r="A3" s="8"/>
      <c r="B3" s="27">
        <v>42963</v>
      </c>
      <c r="C3" s="113" t="s">
        <v>100</v>
      </c>
      <c r="D3" s="129">
        <v>38.80204</v>
      </c>
      <c r="E3" s="40">
        <v>3200</v>
      </c>
      <c r="F3" s="41">
        <f>E3/D3</f>
        <v>82.46989075832096</v>
      </c>
      <c r="G3" s="37">
        <f>VLOOKUP(C3,'Stock Prices'!$B$5:$D$18,3,FALSE)</f>
        <v>85.13</v>
      </c>
      <c r="H3" s="63">
        <f>G3*D3</f>
        <v>3303.2176652</v>
      </c>
      <c r="I3" s="42">
        <f>H3-E3</f>
        <v>103.21766519999983</v>
      </c>
      <c r="J3" s="43">
        <f>I3/E3</f>
        <v>0.032255520374999944</v>
      </c>
      <c r="K3" s="101">
        <f>(($H3/$E3)^(365/(TODAY()-$B3)))-1</f>
        <v>0.30927538635029483</v>
      </c>
      <c r="L3" s="73"/>
    </row>
    <row r="4" spans="1:11" ht="15">
      <c r="A4" s="8"/>
      <c r="B4" s="27">
        <f ca="1">TODAY()</f>
        <v>43006</v>
      </c>
      <c r="C4" s="10"/>
      <c r="D4" s="106">
        <f ca="1">SUM(D3:OFFSET(D4,-1,0))</f>
        <v>38.80204</v>
      </c>
      <c r="E4" s="68">
        <f>-H4</f>
        <v>-3303.2176652</v>
      </c>
      <c r="F4" s="30">
        <f>E5/D4</f>
        <v>82.46989075832096</v>
      </c>
      <c r="G4" s="44">
        <f>G3</f>
        <v>85.13</v>
      </c>
      <c r="H4" s="62">
        <f>D4*G4</f>
        <v>3303.2176652</v>
      </c>
      <c r="I4" s="45">
        <f>H4-E5</f>
        <v>103.21766519999983</v>
      </c>
      <c r="J4" s="46">
        <f>I4/E5</f>
        <v>0.032255520374999944</v>
      </c>
      <c r="K4" s="71">
        <f>XIRR(E3:E4,B3:B4)</f>
        <v>0.3092753827571869</v>
      </c>
    </row>
    <row r="5" ht="12.75">
      <c r="E5" s="29">
        <f ca="1">SUM(E3:OFFSET(E5,-2,0))</f>
        <v>3200</v>
      </c>
    </row>
  </sheetData>
  <sheetProtection/>
  <conditionalFormatting sqref="K1:K2 K4">
    <cfRule type="cellIs" priority="3" dxfId="1" operator="greaterThan" stopIfTrue="1">
      <formula>0</formula>
    </cfRule>
    <cfRule type="cellIs" priority="4" dxfId="0" operator="lessThanOrEqual" stopIfTrue="1">
      <formula>0</formula>
    </cfRule>
  </conditionalFormatting>
  <conditionalFormatting sqref="I1:I4">
    <cfRule type="cellIs" priority="5" dxfId="1" operator="greaterThanOrEqual" stopIfTrue="1">
      <formula>0</formula>
    </cfRule>
    <cfRule type="cellIs" priority="6" dxfId="0" operator="lessThan" stopIfTrue="1">
      <formula>0</formula>
    </cfRule>
  </conditionalFormatting>
  <conditionalFormatting sqref="J1:J2">
    <cfRule type="cellIs" priority="7" dxfId="1" operator="greaterThanOrEqual" stopIfTrue="1">
      <formula>0.1</formula>
    </cfRule>
    <cfRule type="cellIs" priority="8" dxfId="3" operator="between" stopIfTrue="1">
      <formula>0</formula>
      <formula>-2</formula>
    </cfRule>
    <cfRule type="cellIs" priority="9" dxfId="2" operator="between" stopIfTrue="1">
      <formula>0</formula>
      <formula>0.1</formula>
    </cfRule>
  </conditionalFormatting>
  <conditionalFormatting sqref="J3:J4">
    <cfRule type="cellIs" priority="10" dxfId="7" operator="greaterThanOrEqual" stopIfTrue="1">
      <formula>0.5</formula>
    </cfRule>
    <cfRule type="cellIs" priority="11" dxfId="3" operator="lessThan" stopIfTrue="1">
      <formula>0.0001</formula>
    </cfRule>
    <cfRule type="cellIs" priority="12" dxfId="2" operator="greaterThanOrEqual" stopIfTrue="1">
      <formula>0.0001</formula>
    </cfRule>
  </conditionalFormatting>
  <conditionalFormatting sqref="J3">
    <cfRule type="cellIs" priority="13" dxfId="2" operator="greaterThanOrEqual" stopIfTrue="1">
      <formula>0.5</formula>
    </cfRule>
    <cfRule type="cellIs" priority="14" dxfId="3" operator="lessThan" stopIfTrue="1">
      <formula>0.0001</formula>
    </cfRule>
    <cfRule type="cellIs" priority="15" dxfId="2" operator="greaterThanOrEqual" stopIfTrue="1">
      <formula>0.0001</formula>
    </cfRule>
  </conditionalFormatting>
  <conditionalFormatting sqref="K3">
    <cfRule type="cellIs" priority="1" dxfId="1" operator="greaterThan" stopIfTrue="1">
      <formula>0</formula>
    </cfRule>
    <cfRule type="cellIs" priority="2" dxfId="0" operator="lessThanOr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3">
    <tabColor indexed="47"/>
  </sheetPr>
  <dimension ref="A1:L7"/>
  <sheetViews>
    <sheetView zoomScalePageLayoutView="0" workbookViewId="0" topLeftCell="A1">
      <selection activeCell="E7" sqref="E7"/>
    </sheetView>
  </sheetViews>
  <sheetFormatPr defaultColWidth="9.140625" defaultRowHeight="12.75"/>
  <cols>
    <col min="4" max="4" width="10.00390625" style="0" bestFit="1" customWidth="1"/>
    <col min="5" max="5" width="9.7109375" style="0" bestFit="1" customWidth="1"/>
    <col min="6" max="6" width="10.00390625" style="0" bestFit="1" customWidth="1"/>
  </cols>
  <sheetData>
    <row r="1" spans="1:11" ht="13.5" thickBot="1">
      <c r="A1" s="16" t="s">
        <v>8</v>
      </c>
      <c r="B1" s="65" t="s">
        <v>4</v>
      </c>
      <c r="C1" s="18" t="s">
        <v>9</v>
      </c>
      <c r="D1" s="74" t="s">
        <v>10</v>
      </c>
      <c r="E1" s="75" t="s">
        <v>11</v>
      </c>
      <c r="F1" s="76" t="s">
        <v>12</v>
      </c>
      <c r="G1" s="77" t="s">
        <v>13</v>
      </c>
      <c r="H1" s="78" t="s">
        <v>14</v>
      </c>
      <c r="I1" s="79" t="s">
        <v>15</v>
      </c>
      <c r="J1" s="80" t="s">
        <v>16</v>
      </c>
      <c r="K1" s="69" t="s">
        <v>29</v>
      </c>
    </row>
    <row r="2" spans="1:12" ht="14.25">
      <c r="A2" s="25" t="s">
        <v>34</v>
      </c>
      <c r="B2" s="27"/>
      <c r="C2" s="10"/>
      <c r="D2" s="34"/>
      <c r="E2" s="35"/>
      <c r="F2" s="36"/>
      <c r="G2" s="81"/>
      <c r="H2" s="64"/>
      <c r="I2" s="38"/>
      <c r="J2" s="39"/>
      <c r="K2" s="82"/>
      <c r="L2" s="73"/>
    </row>
    <row r="3" spans="1:12" ht="12.75">
      <c r="A3" s="8"/>
      <c r="B3" s="27">
        <v>42662</v>
      </c>
      <c r="C3" s="113" t="s">
        <v>80</v>
      </c>
      <c r="D3" s="128">
        <v>13.33027</v>
      </c>
      <c r="E3" s="35">
        <v>1736</v>
      </c>
      <c r="F3" s="36">
        <f>E3/D3</f>
        <v>130.22992032419447</v>
      </c>
      <c r="G3" s="37">
        <f>VLOOKUP(C3,'Stock Prices'!$B$5:$D$18,3,FALSE)</f>
        <v>167.8495</v>
      </c>
      <c r="H3" s="64">
        <f>G3*D3</f>
        <v>2237.4791543650003</v>
      </c>
      <c r="I3" s="38">
        <f>H3-E3</f>
        <v>501.47915436500034</v>
      </c>
      <c r="J3" s="39">
        <f>I3/E3</f>
        <v>0.2888704806250002</v>
      </c>
      <c r="K3" s="101">
        <f>(($H3/$E3)^(365/(TODAY()-$B3)))-1</f>
        <v>0.3089925323018574</v>
      </c>
      <c r="L3" s="73"/>
    </row>
    <row r="4" spans="1:12" ht="12.75">
      <c r="A4" s="8"/>
      <c r="B4" s="123">
        <v>42691</v>
      </c>
      <c r="C4" s="113" t="s">
        <v>80</v>
      </c>
      <c r="D4" s="128">
        <v>4.04155</v>
      </c>
      <c r="E4" s="35">
        <v>470.84</v>
      </c>
      <c r="F4" s="36">
        <f>E4/D4</f>
        <v>116.49985772785193</v>
      </c>
      <c r="G4" s="37">
        <f>VLOOKUP(C4,'Stock Prices'!$B$5:$D$18,3,FALSE)</f>
        <v>167.8495</v>
      </c>
      <c r="H4" s="64">
        <f>G4*D4</f>
        <v>678.372146725</v>
      </c>
      <c r="I4" s="38">
        <f>H4-E4</f>
        <v>207.53214672500002</v>
      </c>
      <c r="J4" s="39">
        <f>I4/E4</f>
        <v>0.4407699998407103</v>
      </c>
      <c r="K4" s="101">
        <f>(($H4/$E4)^(365/(TODAY()-$B4)))-1</f>
        <v>0.5267516989778265</v>
      </c>
      <c r="L4" s="73"/>
    </row>
    <row r="5" spans="1:12" ht="12.75">
      <c r="A5" s="8"/>
      <c r="B5" s="27">
        <v>42724</v>
      </c>
      <c r="C5" s="113" t="s">
        <v>80</v>
      </c>
      <c r="D5" s="129">
        <v>2.10451</v>
      </c>
      <c r="E5" s="40">
        <v>250.9</v>
      </c>
      <c r="F5" s="41">
        <f>E5/D5</f>
        <v>119.22015100902348</v>
      </c>
      <c r="G5" s="37">
        <f>VLOOKUP(C5,'Stock Prices'!$B$5:$D$18,3,FALSE)</f>
        <v>167.8495</v>
      </c>
      <c r="H5" s="63">
        <f>G5*D5</f>
        <v>353.240951245</v>
      </c>
      <c r="I5" s="42">
        <f>H5-E5</f>
        <v>102.34095124500001</v>
      </c>
      <c r="J5" s="43">
        <f>I5/E5</f>
        <v>0.4078953816062177</v>
      </c>
      <c r="K5" s="101">
        <f>(($H5/$E5)^(365/(TODAY()-$B5)))-1</f>
        <v>0.5570356167626227</v>
      </c>
      <c r="L5" s="73"/>
    </row>
    <row r="6" spans="1:11" ht="15">
      <c r="A6" s="8"/>
      <c r="B6" s="27">
        <f ca="1">TODAY()</f>
        <v>43006</v>
      </c>
      <c r="C6" s="10"/>
      <c r="D6" s="106">
        <f ca="1">SUM(D3:OFFSET(D6,-1,0))</f>
        <v>19.47633</v>
      </c>
      <c r="E6" s="68">
        <f>-H6</f>
        <v>-3269.0922523350005</v>
      </c>
      <c r="F6" s="30">
        <f>E7/D6</f>
        <v>126.19112533008015</v>
      </c>
      <c r="G6" s="44">
        <f>G3</f>
        <v>167.8495</v>
      </c>
      <c r="H6" s="62">
        <f>D6*G6</f>
        <v>3269.0922523350005</v>
      </c>
      <c r="I6" s="45">
        <f>H6-E7</f>
        <v>811.3522523350002</v>
      </c>
      <c r="J6" s="46">
        <f>I6/E7</f>
        <v>0.33012127089724713</v>
      </c>
      <c r="K6" s="71">
        <f>XIRR(E3:E6,B3:B6)</f>
        <v>0.36800181269645693</v>
      </c>
    </row>
    <row r="7" ht="12.75">
      <c r="E7" s="29">
        <f ca="1">SUM(E3:OFFSET(E7,-2,0))</f>
        <v>2457.7400000000002</v>
      </c>
    </row>
  </sheetData>
  <sheetProtection/>
  <conditionalFormatting sqref="K1:K2 K6">
    <cfRule type="cellIs" priority="23" dxfId="1" operator="greaterThan" stopIfTrue="1">
      <formula>0</formula>
    </cfRule>
    <cfRule type="cellIs" priority="24" dxfId="0" operator="lessThanOrEqual" stopIfTrue="1">
      <formula>0</formula>
    </cfRule>
  </conditionalFormatting>
  <conditionalFormatting sqref="I1:I3 I6">
    <cfRule type="cellIs" priority="25" dxfId="1" operator="greaterThanOrEqual" stopIfTrue="1">
      <formula>0</formula>
    </cfRule>
    <cfRule type="cellIs" priority="26" dxfId="0" operator="lessThan" stopIfTrue="1">
      <formula>0</formula>
    </cfRule>
  </conditionalFormatting>
  <conditionalFormatting sqref="J1:J2">
    <cfRule type="cellIs" priority="27" dxfId="1" operator="greaterThanOrEqual" stopIfTrue="1">
      <formula>0.1</formula>
    </cfRule>
    <cfRule type="cellIs" priority="28" dxfId="3" operator="between" stopIfTrue="1">
      <formula>0</formula>
      <formula>-2</formula>
    </cfRule>
    <cfRule type="cellIs" priority="29" dxfId="2" operator="between" stopIfTrue="1">
      <formula>0</formula>
      <formula>0.1</formula>
    </cfRule>
  </conditionalFormatting>
  <conditionalFormatting sqref="J3 J6">
    <cfRule type="cellIs" priority="30" dxfId="7" operator="greaterThanOrEqual" stopIfTrue="1">
      <formula>0.5</formula>
    </cfRule>
    <cfRule type="cellIs" priority="31" dxfId="3" operator="lessThan" stopIfTrue="1">
      <formula>0.0001</formula>
    </cfRule>
    <cfRule type="cellIs" priority="32" dxfId="2" operator="greaterThanOrEqual" stopIfTrue="1">
      <formula>0.0001</formula>
    </cfRule>
  </conditionalFormatting>
  <conditionalFormatting sqref="J3">
    <cfRule type="cellIs" priority="33" dxfId="2" operator="greaterThanOrEqual" stopIfTrue="1">
      <formula>0.5</formula>
    </cfRule>
    <cfRule type="cellIs" priority="34" dxfId="3" operator="lessThan" stopIfTrue="1">
      <formula>0.0001</formula>
    </cfRule>
    <cfRule type="cellIs" priority="35" dxfId="2" operator="greaterThanOrEqual" stopIfTrue="1">
      <formula>0.0001</formula>
    </cfRule>
  </conditionalFormatting>
  <conditionalFormatting sqref="I4">
    <cfRule type="cellIs" priority="15" dxfId="1" operator="greaterThanOrEqual" stopIfTrue="1">
      <formula>0</formula>
    </cfRule>
    <cfRule type="cellIs" priority="16" dxfId="0" operator="lessThan" stopIfTrue="1">
      <formula>0</formula>
    </cfRule>
  </conditionalFormatting>
  <conditionalFormatting sqref="J4">
    <cfRule type="cellIs" priority="17" dxfId="7" operator="greaterThanOrEqual" stopIfTrue="1">
      <formula>0.5</formula>
    </cfRule>
    <cfRule type="cellIs" priority="18" dxfId="3" operator="lessThan" stopIfTrue="1">
      <formula>0.0001</formula>
    </cfRule>
    <cfRule type="cellIs" priority="19" dxfId="2" operator="greaterThanOrEqual" stopIfTrue="1">
      <formula>0.0001</formula>
    </cfRule>
  </conditionalFormatting>
  <conditionalFormatting sqref="J4">
    <cfRule type="cellIs" priority="20" dxfId="2" operator="greaterThanOrEqual" stopIfTrue="1">
      <formula>0.5</formula>
    </cfRule>
    <cfRule type="cellIs" priority="21" dxfId="3" operator="lessThan" stopIfTrue="1">
      <formula>0.0001</formula>
    </cfRule>
    <cfRule type="cellIs" priority="22" dxfId="2" operator="greaterThanOrEqual" stopIfTrue="1">
      <formula>0.0001</formula>
    </cfRule>
  </conditionalFormatting>
  <conditionalFormatting sqref="K3:K4">
    <cfRule type="cellIs" priority="11" dxfId="1" operator="greaterThan" stopIfTrue="1">
      <formula>0</formula>
    </cfRule>
    <cfRule type="cellIs" priority="12" dxfId="0" operator="lessThanOrEqual" stopIfTrue="1">
      <formula>0</formula>
    </cfRule>
  </conditionalFormatting>
  <conditionalFormatting sqref="I5">
    <cfRule type="cellIs" priority="3" dxfId="1" operator="greaterThanOrEqual" stopIfTrue="1">
      <formula>0</formula>
    </cfRule>
    <cfRule type="cellIs" priority="4" dxfId="0" operator="lessThan" stopIfTrue="1">
      <formula>0</formula>
    </cfRule>
  </conditionalFormatting>
  <conditionalFormatting sqref="J5">
    <cfRule type="cellIs" priority="5" dxfId="7" operator="greaterThanOrEqual" stopIfTrue="1">
      <formula>0.5</formula>
    </cfRule>
    <cfRule type="cellIs" priority="6" dxfId="3" operator="lessThan" stopIfTrue="1">
      <formula>0.0001</formula>
    </cfRule>
    <cfRule type="cellIs" priority="7" dxfId="2" operator="greaterThanOrEqual" stopIfTrue="1">
      <formula>0.0001</formula>
    </cfRule>
  </conditionalFormatting>
  <conditionalFormatting sqref="J5">
    <cfRule type="cellIs" priority="8" dxfId="2" operator="greaterThanOrEqual" stopIfTrue="1">
      <formula>0.5</formula>
    </cfRule>
    <cfRule type="cellIs" priority="9" dxfId="3" operator="lessThan" stopIfTrue="1">
      <formula>0.0001</formula>
    </cfRule>
    <cfRule type="cellIs" priority="10" dxfId="2" operator="greaterThanOrEqual" stopIfTrue="1">
      <formula>0.0001</formula>
    </cfRule>
  </conditionalFormatting>
  <conditionalFormatting sqref="K5">
    <cfRule type="cellIs" priority="1" dxfId="1" operator="greaterThan" stopIfTrue="1">
      <formula>0</formula>
    </cfRule>
    <cfRule type="cellIs" priority="2" dxfId="0" operator="lessThanOr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1">
    <tabColor indexed="47"/>
  </sheetPr>
  <dimension ref="A1:L6"/>
  <sheetViews>
    <sheetView zoomScalePageLayoutView="0" workbookViewId="0" topLeftCell="A1">
      <selection activeCell="K6" sqref="K6"/>
    </sheetView>
  </sheetViews>
  <sheetFormatPr defaultColWidth="9.140625" defaultRowHeight="12.75"/>
  <cols>
    <col min="4" max="4" width="10.00390625" style="0" bestFit="1" customWidth="1"/>
    <col min="5" max="5" width="9.7109375" style="0" bestFit="1" customWidth="1"/>
    <col min="6" max="6" width="10.00390625" style="0" bestFit="1" customWidth="1"/>
  </cols>
  <sheetData>
    <row r="1" spans="1:11" ht="13.5" thickBot="1">
      <c r="A1" s="16" t="s">
        <v>8</v>
      </c>
      <c r="B1" s="65" t="s">
        <v>4</v>
      </c>
      <c r="C1" s="18" t="s">
        <v>9</v>
      </c>
      <c r="D1" s="74" t="s">
        <v>10</v>
      </c>
      <c r="E1" s="75" t="s">
        <v>11</v>
      </c>
      <c r="F1" s="76" t="s">
        <v>12</v>
      </c>
      <c r="G1" s="77" t="s">
        <v>13</v>
      </c>
      <c r="H1" s="78" t="s">
        <v>14</v>
      </c>
      <c r="I1" s="79" t="s">
        <v>15</v>
      </c>
      <c r="J1" s="80" t="s">
        <v>16</v>
      </c>
      <c r="K1" s="69" t="s">
        <v>29</v>
      </c>
    </row>
    <row r="2" spans="1:12" ht="14.25">
      <c r="A2" s="25" t="s">
        <v>104</v>
      </c>
      <c r="B2" s="27"/>
      <c r="C2" s="10"/>
      <c r="D2" s="34"/>
      <c r="E2" s="35"/>
      <c r="F2" s="36"/>
      <c r="G2" s="81"/>
      <c r="H2" s="64"/>
      <c r="I2" s="38"/>
      <c r="J2" s="39"/>
      <c r="K2" s="82"/>
      <c r="L2" s="73"/>
    </row>
    <row r="3" spans="1:12" ht="12.75">
      <c r="A3" s="8"/>
      <c r="B3" s="27">
        <v>42999</v>
      </c>
      <c r="C3" s="113" t="s">
        <v>103</v>
      </c>
      <c r="D3" s="128">
        <v>10.13172</v>
      </c>
      <c r="E3" s="35">
        <v>1700</v>
      </c>
      <c r="F3" s="36">
        <f>E3/D3</f>
        <v>167.78987180853795</v>
      </c>
      <c r="G3" s="37">
        <f>VLOOKUP(C3,'Stock Prices'!$B$5:$D$18,3,FALSE)</f>
        <v>177.35</v>
      </c>
      <c r="H3" s="64">
        <f>G3*D3</f>
        <v>1796.860542</v>
      </c>
      <c r="I3" s="38">
        <f>H3-E3</f>
        <v>96.8605419999999</v>
      </c>
      <c r="J3" s="39">
        <f>I3/E3</f>
        <v>0.05697678941176464</v>
      </c>
      <c r="K3" s="101">
        <f>(($H3/$E3)^(365/(TODAY()-$B3)))-1</f>
        <v>16.982139011760882</v>
      </c>
      <c r="L3" s="73"/>
    </row>
    <row r="4" spans="1:12" ht="12.75">
      <c r="A4" s="8"/>
      <c r="B4" s="27">
        <v>42999</v>
      </c>
      <c r="C4" s="113" t="s">
        <v>103</v>
      </c>
      <c r="D4" s="129">
        <v>1.39611</v>
      </c>
      <c r="E4" s="40">
        <v>233.21</v>
      </c>
      <c r="F4" s="41">
        <f>E4/D4</f>
        <v>167.04271153419145</v>
      </c>
      <c r="G4" s="37">
        <f>VLOOKUP(C4,'Stock Prices'!$B$5:$D$18,3,FALSE)</f>
        <v>177.35</v>
      </c>
      <c r="H4" s="63">
        <f>G4*D4</f>
        <v>247.60010849999998</v>
      </c>
      <c r="I4" s="42">
        <f>H4-E4</f>
        <v>14.390108499999968</v>
      </c>
      <c r="J4" s="43">
        <f>I4/E4</f>
        <v>0.06170450881180038</v>
      </c>
      <c r="K4" s="101">
        <f>(($H4/$E4)^(365/(TODAY()-$B4)))-1</f>
        <v>21.693695206572663</v>
      </c>
      <c r="L4" s="73"/>
    </row>
    <row r="5" spans="1:11" ht="15">
      <c r="A5" s="8"/>
      <c r="B5" s="27">
        <f ca="1">TODAY()</f>
        <v>43006</v>
      </c>
      <c r="C5" s="10"/>
      <c r="D5" s="106">
        <f ca="1">SUM(D3:OFFSET(D5,-1,0))</f>
        <v>11.52783</v>
      </c>
      <c r="E5" s="68">
        <f>-H5</f>
        <v>-2044.4606505</v>
      </c>
      <c r="F5" s="30">
        <f>E6/D5</f>
        <v>167.699384879895</v>
      </c>
      <c r="G5" s="44">
        <f>G4</f>
        <v>177.35</v>
      </c>
      <c r="H5" s="62">
        <f>D5*G5</f>
        <v>2044.4606505</v>
      </c>
      <c r="I5" s="45">
        <f>H5-E6</f>
        <v>111.25065049999989</v>
      </c>
      <c r="J5" s="46">
        <f>I5/E6</f>
        <v>0.05754711102259966</v>
      </c>
      <c r="K5" s="71">
        <f>XIRR(E3:E5,B3:B5)</f>
        <v>17.4951132774353</v>
      </c>
    </row>
    <row r="6" ht="12.75">
      <c r="E6" s="29">
        <f ca="1">SUM(E3:OFFSET(E6,-2,0))</f>
        <v>1933.21</v>
      </c>
    </row>
  </sheetData>
  <sheetProtection/>
  <conditionalFormatting sqref="K1:K2 K5">
    <cfRule type="cellIs" priority="13" dxfId="1" operator="greaterThan" stopIfTrue="1">
      <formula>0</formula>
    </cfRule>
    <cfRule type="cellIs" priority="14" dxfId="0" operator="lessThanOrEqual" stopIfTrue="1">
      <formula>0</formula>
    </cfRule>
  </conditionalFormatting>
  <conditionalFormatting sqref="I1:I2 I4:I5">
    <cfRule type="cellIs" priority="15" dxfId="1" operator="greaterThanOrEqual" stopIfTrue="1">
      <formula>0</formula>
    </cfRule>
    <cfRule type="cellIs" priority="16" dxfId="0" operator="lessThan" stopIfTrue="1">
      <formula>0</formula>
    </cfRule>
  </conditionalFormatting>
  <conditionalFormatting sqref="J1:J2">
    <cfRule type="cellIs" priority="17" dxfId="1" operator="greaterThanOrEqual" stopIfTrue="1">
      <formula>0.1</formula>
    </cfRule>
    <cfRule type="cellIs" priority="18" dxfId="3" operator="between" stopIfTrue="1">
      <formula>0</formula>
      <formula>-2</formula>
    </cfRule>
    <cfRule type="cellIs" priority="19" dxfId="2" operator="between" stopIfTrue="1">
      <formula>0</formula>
      <formula>0.1</formula>
    </cfRule>
  </conditionalFormatting>
  <conditionalFormatting sqref="J4:J5">
    <cfRule type="cellIs" priority="20" dxfId="7" operator="greaterThanOrEqual" stopIfTrue="1">
      <formula>0.5</formula>
    </cfRule>
    <cfRule type="cellIs" priority="21" dxfId="3" operator="lessThan" stopIfTrue="1">
      <formula>0.0001</formula>
    </cfRule>
    <cfRule type="cellIs" priority="22" dxfId="2" operator="greaterThanOrEqual" stopIfTrue="1">
      <formula>0.0001</formula>
    </cfRule>
  </conditionalFormatting>
  <conditionalFormatting sqref="J4">
    <cfRule type="cellIs" priority="23" dxfId="2" operator="greaterThanOrEqual" stopIfTrue="1">
      <formula>0.5</formula>
    </cfRule>
    <cfRule type="cellIs" priority="24" dxfId="3" operator="lessThan" stopIfTrue="1">
      <formula>0.0001</formula>
    </cfRule>
    <cfRule type="cellIs" priority="25" dxfId="2" operator="greaterThanOrEqual" stopIfTrue="1">
      <formula>0.0001</formula>
    </cfRule>
  </conditionalFormatting>
  <conditionalFormatting sqref="K4">
    <cfRule type="cellIs" priority="11" dxfId="1" operator="greaterThan" stopIfTrue="1">
      <formula>0</formula>
    </cfRule>
    <cfRule type="cellIs" priority="12" dxfId="0" operator="lessThanOrEqual" stopIfTrue="1">
      <formula>0</formula>
    </cfRule>
  </conditionalFormatting>
  <conditionalFormatting sqref="I3">
    <cfRule type="cellIs" priority="3" dxfId="1" operator="greaterThanOrEqual" stopIfTrue="1">
      <formula>0</formula>
    </cfRule>
    <cfRule type="cellIs" priority="4" dxfId="0" operator="lessThan" stopIfTrue="1">
      <formula>0</formula>
    </cfRule>
  </conditionalFormatting>
  <conditionalFormatting sqref="J3">
    <cfRule type="cellIs" priority="5" dxfId="7" operator="greaterThanOrEqual" stopIfTrue="1">
      <formula>0.5</formula>
    </cfRule>
    <cfRule type="cellIs" priority="6" dxfId="3" operator="lessThan" stopIfTrue="1">
      <formula>0.0001</formula>
    </cfRule>
    <cfRule type="cellIs" priority="7" dxfId="2" operator="greaterThanOrEqual" stopIfTrue="1">
      <formula>0.0001</formula>
    </cfRule>
  </conditionalFormatting>
  <conditionalFormatting sqref="J3">
    <cfRule type="cellIs" priority="8" dxfId="2" operator="greaterThanOrEqual" stopIfTrue="1">
      <formula>0.5</formula>
    </cfRule>
    <cfRule type="cellIs" priority="9" dxfId="3" operator="lessThan" stopIfTrue="1">
      <formula>0.0001</formula>
    </cfRule>
    <cfRule type="cellIs" priority="10" dxfId="2" operator="greaterThanOrEqual" stopIfTrue="1">
      <formula>0.0001</formula>
    </cfRule>
  </conditionalFormatting>
  <conditionalFormatting sqref="K3">
    <cfRule type="cellIs" priority="1" dxfId="1" operator="greaterThan" stopIfTrue="1">
      <formula>0</formula>
    </cfRule>
    <cfRule type="cellIs" priority="2" dxfId="0" operator="lessThanOr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8">
    <tabColor indexed="47"/>
  </sheetPr>
  <dimension ref="A1:L8"/>
  <sheetViews>
    <sheetView zoomScalePageLayoutView="0" workbookViewId="0" topLeftCell="A1">
      <selection activeCell="K7" sqref="K7"/>
    </sheetView>
  </sheetViews>
  <sheetFormatPr defaultColWidth="9.140625" defaultRowHeight="12.75"/>
  <cols>
    <col min="4" max="4" width="11.00390625" style="0" bestFit="1" customWidth="1"/>
    <col min="5" max="5" width="9.7109375" style="0" bestFit="1" customWidth="1"/>
    <col min="6" max="6" width="10.00390625" style="0" bestFit="1" customWidth="1"/>
  </cols>
  <sheetData>
    <row r="1" spans="1:11" ht="13.5" thickBot="1">
      <c r="A1" s="16" t="s">
        <v>8</v>
      </c>
      <c r="B1" s="65" t="s">
        <v>4</v>
      </c>
      <c r="C1" s="18" t="s">
        <v>9</v>
      </c>
      <c r="D1" s="74" t="s">
        <v>10</v>
      </c>
      <c r="E1" s="75" t="s">
        <v>11</v>
      </c>
      <c r="F1" s="76" t="s">
        <v>12</v>
      </c>
      <c r="G1" s="77" t="s">
        <v>13</v>
      </c>
      <c r="H1" s="78" t="s">
        <v>14</v>
      </c>
      <c r="I1" s="79" t="s">
        <v>15</v>
      </c>
      <c r="J1" s="80" t="s">
        <v>16</v>
      </c>
      <c r="K1" s="69" t="s">
        <v>29</v>
      </c>
    </row>
    <row r="2" spans="1:12" ht="14.25">
      <c r="A2" s="25" t="s">
        <v>33</v>
      </c>
      <c r="B2" s="27"/>
      <c r="C2" s="10"/>
      <c r="D2" s="34"/>
      <c r="E2" s="35"/>
      <c r="F2" s="36"/>
      <c r="G2" s="81"/>
      <c r="H2" s="64"/>
      <c r="I2" s="38"/>
      <c r="J2" s="39"/>
      <c r="K2" s="82"/>
      <c r="L2" s="73"/>
    </row>
    <row r="3" spans="1:12" ht="12.75">
      <c r="A3" s="8"/>
      <c r="B3" s="27">
        <v>42081</v>
      </c>
      <c r="C3" s="113" t="s">
        <v>57</v>
      </c>
      <c r="D3" s="128">
        <v>114.94316</v>
      </c>
      <c r="E3" s="35">
        <v>2100</v>
      </c>
      <c r="F3" s="36">
        <f>E3/D3</f>
        <v>18.269899661711058</v>
      </c>
      <c r="G3" s="37">
        <f>VLOOKUP(C3,'Stock Prices'!$B$5:$D$18,3,FALSE)</f>
        <v>19.77</v>
      </c>
      <c r="H3" s="64">
        <f>G3*D3</f>
        <v>2272.4262732</v>
      </c>
      <c r="I3" s="38">
        <f>H3-E3</f>
        <v>172.4262732000002</v>
      </c>
      <c r="J3" s="39">
        <f>I3/E3</f>
        <v>0.08210774914285723</v>
      </c>
      <c r="K3" s="72">
        <f>(($H3/$E3)^(365/(TODAY()-$B3)))-1</f>
        <v>0.03162760995085878</v>
      </c>
      <c r="L3" s="73"/>
    </row>
    <row r="4" spans="1:12" ht="12.75">
      <c r="A4" s="8"/>
      <c r="B4" s="27">
        <v>42635</v>
      </c>
      <c r="C4" s="113"/>
      <c r="D4" s="128">
        <v>96.35482</v>
      </c>
      <c r="E4" s="35">
        <v>1698.36</v>
      </c>
      <c r="F4" s="36">
        <f>E4/D4</f>
        <v>17.62610318819546</v>
      </c>
      <c r="G4" s="37">
        <f>G3</f>
        <v>19.77</v>
      </c>
      <c r="H4" s="64">
        <f>G4*D4</f>
        <v>1904.9347914</v>
      </c>
      <c r="I4" s="38">
        <f>H4-E4</f>
        <v>206.5747914000001</v>
      </c>
      <c r="J4" s="39">
        <f>I4/E4</f>
        <v>0.12163192220730594</v>
      </c>
      <c r="K4" s="101">
        <f>(($H4/$E4)^(365/(TODAY()-$B4)))-1</f>
        <v>0.11955170512582791</v>
      </c>
      <c r="L4" s="73"/>
    </row>
    <row r="5" spans="1:12" ht="12.75">
      <c r="A5" s="8"/>
      <c r="B5" s="27">
        <v>42811</v>
      </c>
      <c r="C5" s="113"/>
      <c r="D5" s="128">
        <v>-11.29798</v>
      </c>
      <c r="E5" s="35">
        <v>-247.54</v>
      </c>
      <c r="F5" s="36"/>
      <c r="G5" s="37"/>
      <c r="H5" s="64"/>
      <c r="I5" s="38"/>
      <c r="J5" s="39"/>
      <c r="K5" s="101"/>
      <c r="L5" s="73"/>
    </row>
    <row r="6" spans="1:12" ht="12.75">
      <c r="A6" s="8"/>
      <c r="B6" s="27">
        <v>42999</v>
      </c>
      <c r="C6" s="113"/>
      <c r="D6" s="129">
        <v>-52.00181</v>
      </c>
      <c r="E6" s="40">
        <v>-999.98</v>
      </c>
      <c r="F6" s="41"/>
      <c r="G6" s="37"/>
      <c r="H6" s="63"/>
      <c r="I6" s="42"/>
      <c r="J6" s="43"/>
      <c r="K6" s="72"/>
      <c r="L6" s="73"/>
    </row>
    <row r="7" spans="1:11" ht="15">
      <c r="A7" s="8"/>
      <c r="B7" s="27">
        <f ca="1">TODAY()</f>
        <v>43006</v>
      </c>
      <c r="C7" s="10"/>
      <c r="D7" s="106">
        <f ca="1">SUM(D3:OFFSET(D7,-1,0))</f>
        <v>147.99819</v>
      </c>
      <c r="E7" s="68">
        <f>-H7</f>
        <v>-2925.9242163</v>
      </c>
      <c r="F7" s="30">
        <f>E8/D7</f>
        <v>17.23561619233316</v>
      </c>
      <c r="G7" s="44">
        <f>G3</f>
        <v>19.77</v>
      </c>
      <c r="H7" s="62">
        <f>D7*G7</f>
        <v>2925.9242163</v>
      </c>
      <c r="I7" s="45">
        <f>H7-E8</f>
        <v>375.0842163000002</v>
      </c>
      <c r="J7" s="46">
        <f>I7/E8</f>
        <v>0.1470434116996755</v>
      </c>
      <c r="K7" s="71">
        <f>XIRR(E3:E7,B3:B7)</f>
        <v>0.05270446240901948</v>
      </c>
    </row>
    <row r="8" ht="12.75">
      <c r="E8" s="29">
        <f ca="1">SUM(E3:OFFSET(E8,-2,0))</f>
        <v>2550.8399999999997</v>
      </c>
    </row>
  </sheetData>
  <sheetProtection/>
  <conditionalFormatting sqref="K1:K3 K7">
    <cfRule type="cellIs" priority="43" dxfId="1" operator="greaterThan" stopIfTrue="1">
      <formula>0</formula>
    </cfRule>
    <cfRule type="cellIs" priority="44" dxfId="0" operator="lessThanOrEqual" stopIfTrue="1">
      <formula>0</formula>
    </cfRule>
  </conditionalFormatting>
  <conditionalFormatting sqref="I1:I3 I7">
    <cfRule type="cellIs" priority="45" dxfId="1" operator="greaterThanOrEqual" stopIfTrue="1">
      <formula>0</formula>
    </cfRule>
    <cfRule type="cellIs" priority="46" dxfId="0" operator="lessThan" stopIfTrue="1">
      <formula>0</formula>
    </cfRule>
  </conditionalFormatting>
  <conditionalFormatting sqref="J1:J2">
    <cfRule type="cellIs" priority="47" dxfId="1" operator="greaterThanOrEqual" stopIfTrue="1">
      <formula>0.1</formula>
    </cfRule>
    <cfRule type="cellIs" priority="48" dxfId="3" operator="between" stopIfTrue="1">
      <formula>0</formula>
      <formula>-2</formula>
    </cfRule>
    <cfRule type="cellIs" priority="49" dxfId="2" operator="between" stopIfTrue="1">
      <formula>0</formula>
      <formula>0.1</formula>
    </cfRule>
  </conditionalFormatting>
  <conditionalFormatting sqref="J3 J7">
    <cfRule type="cellIs" priority="50" dxfId="7" operator="greaterThanOrEqual" stopIfTrue="1">
      <formula>0.5</formula>
    </cfRule>
    <cfRule type="cellIs" priority="51" dxfId="3" operator="lessThan" stopIfTrue="1">
      <formula>0.0001</formula>
    </cfRule>
    <cfRule type="cellIs" priority="52" dxfId="2" operator="greaterThanOrEqual" stopIfTrue="1">
      <formula>0.0001</formula>
    </cfRule>
  </conditionalFormatting>
  <conditionalFormatting sqref="J3">
    <cfRule type="cellIs" priority="53" dxfId="2" operator="greaterThanOrEqual" stopIfTrue="1">
      <formula>0.5</formula>
    </cfRule>
    <cfRule type="cellIs" priority="54" dxfId="3" operator="lessThan" stopIfTrue="1">
      <formula>0.0001</formula>
    </cfRule>
    <cfRule type="cellIs" priority="55" dxfId="2" operator="greaterThanOrEqual" stopIfTrue="1">
      <formula>0.0001</formula>
    </cfRule>
  </conditionalFormatting>
  <conditionalFormatting sqref="I4">
    <cfRule type="cellIs" priority="35" dxfId="1" operator="greaterThanOrEqual" stopIfTrue="1">
      <formula>0</formula>
    </cfRule>
    <cfRule type="cellIs" priority="36" dxfId="0" operator="lessThan" stopIfTrue="1">
      <formula>0</formula>
    </cfRule>
  </conditionalFormatting>
  <conditionalFormatting sqref="J4">
    <cfRule type="cellIs" priority="37" dxfId="7" operator="greaterThanOrEqual" stopIfTrue="1">
      <formula>0.5</formula>
    </cfRule>
    <cfRule type="cellIs" priority="38" dxfId="3" operator="lessThan" stopIfTrue="1">
      <formula>0.0001</formula>
    </cfRule>
    <cfRule type="cellIs" priority="39" dxfId="2" operator="greaterThanOrEqual" stopIfTrue="1">
      <formula>0.0001</formula>
    </cfRule>
  </conditionalFormatting>
  <conditionalFormatting sqref="J4">
    <cfRule type="cellIs" priority="40" dxfId="2" operator="greaterThanOrEqual" stopIfTrue="1">
      <formula>0.5</formula>
    </cfRule>
    <cfRule type="cellIs" priority="41" dxfId="3" operator="lessThan" stopIfTrue="1">
      <formula>0.0001</formula>
    </cfRule>
    <cfRule type="cellIs" priority="42" dxfId="2" operator="greaterThanOrEqual" stopIfTrue="1">
      <formula>0.0001</formula>
    </cfRule>
  </conditionalFormatting>
  <conditionalFormatting sqref="K4">
    <cfRule type="cellIs" priority="31" dxfId="1" operator="greaterThan" stopIfTrue="1">
      <formula>0</formula>
    </cfRule>
    <cfRule type="cellIs" priority="32" dxfId="0" operator="lessThanOrEqual" stopIfTrue="1">
      <formula>0</formula>
    </cfRule>
  </conditionalFormatting>
  <conditionalFormatting sqref="I6">
    <cfRule type="cellIs" priority="13" dxfId="1" operator="greaterThanOrEqual" stopIfTrue="1">
      <formula>0</formula>
    </cfRule>
    <cfRule type="cellIs" priority="14" dxfId="0" operator="lessThan" stopIfTrue="1">
      <formula>0</formula>
    </cfRule>
  </conditionalFormatting>
  <conditionalFormatting sqref="J6">
    <cfRule type="cellIs" priority="15" dxfId="7" operator="greaterThanOrEqual" stopIfTrue="1">
      <formula>0.5</formula>
    </cfRule>
    <cfRule type="cellIs" priority="16" dxfId="3" operator="lessThan" stopIfTrue="1">
      <formula>0.0001</formula>
    </cfRule>
    <cfRule type="cellIs" priority="17" dxfId="2" operator="greaterThanOrEqual" stopIfTrue="1">
      <formula>0.0001</formula>
    </cfRule>
  </conditionalFormatting>
  <conditionalFormatting sqref="J6">
    <cfRule type="cellIs" priority="18" dxfId="2" operator="greaterThanOrEqual" stopIfTrue="1">
      <formula>0.5</formula>
    </cfRule>
    <cfRule type="cellIs" priority="19" dxfId="3" operator="lessThan" stopIfTrue="1">
      <formula>0.0001</formula>
    </cfRule>
    <cfRule type="cellIs" priority="20" dxfId="2" operator="greaterThanOrEqual" stopIfTrue="1">
      <formula>0.0001</formula>
    </cfRule>
  </conditionalFormatting>
  <conditionalFormatting sqref="K6">
    <cfRule type="cellIs" priority="11" dxfId="1" operator="greaterThan" stopIfTrue="1">
      <formula>0</formula>
    </cfRule>
    <cfRule type="cellIs" priority="12" dxfId="0" operator="lessThanOrEqual" stopIfTrue="1">
      <formula>0</formula>
    </cfRule>
  </conditionalFormatting>
  <conditionalFormatting sqref="I5">
    <cfRule type="cellIs" priority="3" dxfId="1" operator="greaterThanOrEqual" stopIfTrue="1">
      <formula>0</formula>
    </cfRule>
    <cfRule type="cellIs" priority="4" dxfId="0" operator="lessThan" stopIfTrue="1">
      <formula>0</formula>
    </cfRule>
  </conditionalFormatting>
  <conditionalFormatting sqref="J5">
    <cfRule type="cellIs" priority="5" dxfId="7" operator="greaterThanOrEqual" stopIfTrue="1">
      <formula>0.5</formula>
    </cfRule>
    <cfRule type="cellIs" priority="6" dxfId="3" operator="lessThan" stopIfTrue="1">
      <formula>0.0001</formula>
    </cfRule>
    <cfRule type="cellIs" priority="7" dxfId="2" operator="greaterThanOrEqual" stopIfTrue="1">
      <formula>0.0001</formula>
    </cfRule>
  </conditionalFormatting>
  <conditionalFormatting sqref="J5">
    <cfRule type="cellIs" priority="8" dxfId="2" operator="greaterThanOrEqual" stopIfTrue="1">
      <formula>0.5</formula>
    </cfRule>
    <cfRule type="cellIs" priority="9" dxfId="3" operator="lessThan" stopIfTrue="1">
      <formula>0.0001</formula>
    </cfRule>
    <cfRule type="cellIs" priority="10" dxfId="2" operator="greaterThanOrEqual" stopIfTrue="1">
      <formula>0.0001</formula>
    </cfRule>
  </conditionalFormatting>
  <conditionalFormatting sqref="K5">
    <cfRule type="cellIs" priority="1" dxfId="1" operator="greaterThan" stopIfTrue="1">
      <formula>0</formula>
    </cfRule>
    <cfRule type="cellIs" priority="2" dxfId="0" operator="lessThanOr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4">
    <tabColor indexed="47"/>
  </sheetPr>
  <dimension ref="A1:M7"/>
  <sheetViews>
    <sheetView zoomScalePageLayoutView="0" workbookViewId="0" topLeftCell="A1">
      <selection activeCell="E7" sqref="E7"/>
    </sheetView>
  </sheetViews>
  <sheetFormatPr defaultColWidth="9.140625" defaultRowHeight="12.75"/>
  <cols>
    <col min="4" max="4" width="10.00390625" style="0" bestFit="1" customWidth="1"/>
    <col min="5" max="5" width="9.7109375" style="0" bestFit="1" customWidth="1"/>
    <col min="6" max="6" width="10.00390625" style="0" bestFit="1" customWidth="1"/>
  </cols>
  <sheetData>
    <row r="1" spans="1:11" ht="13.5" thickBot="1">
      <c r="A1" s="16" t="s">
        <v>8</v>
      </c>
      <c r="B1" s="65" t="s">
        <v>4</v>
      </c>
      <c r="C1" s="18" t="s">
        <v>9</v>
      </c>
      <c r="D1" s="74" t="s">
        <v>10</v>
      </c>
      <c r="E1" s="75" t="s">
        <v>11</v>
      </c>
      <c r="F1" s="76" t="s">
        <v>12</v>
      </c>
      <c r="G1" s="77" t="s">
        <v>13</v>
      </c>
      <c r="H1" s="78" t="s">
        <v>14</v>
      </c>
      <c r="I1" s="79" t="s">
        <v>15</v>
      </c>
      <c r="J1" s="80" t="s">
        <v>16</v>
      </c>
      <c r="K1" s="69" t="s">
        <v>29</v>
      </c>
    </row>
    <row r="2" spans="1:12" ht="14.25">
      <c r="A2" s="25" t="s">
        <v>34</v>
      </c>
      <c r="B2" s="27"/>
      <c r="C2" s="10"/>
      <c r="D2" s="34"/>
      <c r="E2" s="35"/>
      <c r="F2" s="36"/>
      <c r="G2" s="81"/>
      <c r="H2" s="64"/>
      <c r="I2" s="38"/>
      <c r="J2" s="39"/>
      <c r="K2" s="82"/>
      <c r="L2" s="73"/>
    </row>
    <row r="3" spans="1:13" ht="12.75">
      <c r="A3" s="8"/>
      <c r="B3" s="123">
        <v>42446</v>
      </c>
      <c r="C3" s="113" t="s">
        <v>75</v>
      </c>
      <c r="D3" s="128">
        <v>1.46717</v>
      </c>
      <c r="E3" s="35">
        <v>1120.52</v>
      </c>
      <c r="F3" s="36">
        <f>E3/D3</f>
        <v>763.7288112488668</v>
      </c>
      <c r="G3" s="37">
        <f>VLOOKUP(C3,'Stock Prices'!$B$5:$D$18,3,FALSE)</f>
        <v>960.665</v>
      </c>
      <c r="H3" s="64">
        <f>G3*D3</f>
        <v>1409.45886805</v>
      </c>
      <c r="I3" s="38">
        <f>H3-E3</f>
        <v>288.9388680500001</v>
      </c>
      <c r="J3" s="39">
        <f>I3/E3</f>
        <v>0.25786141081819164</v>
      </c>
      <c r="K3" s="72">
        <f>(($H3/$E3)^(365/(TODAY()-$B3)))-1</f>
        <v>0.16128611050548414</v>
      </c>
      <c r="L3" s="73"/>
      <c r="M3" s="73"/>
    </row>
    <row r="4" spans="1:12" ht="12.75">
      <c r="A4" s="8"/>
      <c r="B4" s="27">
        <v>42451</v>
      </c>
      <c r="C4" s="113" t="s">
        <v>75</v>
      </c>
      <c r="D4" s="128">
        <v>2.31974</v>
      </c>
      <c r="E4" s="35">
        <v>1771.11</v>
      </c>
      <c r="F4" s="36">
        <f>E4/D4</f>
        <v>763.4950468586997</v>
      </c>
      <c r="G4" s="37">
        <f>VLOOKUP(C4,'Stock Prices'!$B$5:$D$18,3,FALSE)</f>
        <v>960.665</v>
      </c>
      <c r="H4" s="64">
        <f>G4*D4</f>
        <v>2228.4930271</v>
      </c>
      <c r="I4" s="38">
        <f>H4-E4</f>
        <v>457.38302709999994</v>
      </c>
      <c r="J4" s="39">
        <f>I4/E4</f>
        <v>0.25824653866784103</v>
      </c>
      <c r="K4" s="72">
        <f>(($H4/$E4)^(365/(TODAY()-$B4)))-1</f>
        <v>0.163085672124069</v>
      </c>
      <c r="L4" s="73"/>
    </row>
    <row r="5" spans="1:12" ht="12.75">
      <c r="A5" s="8"/>
      <c r="B5" s="27">
        <v>42811</v>
      </c>
      <c r="C5" s="113" t="s">
        <v>75</v>
      </c>
      <c r="D5" s="129">
        <v>1.4</v>
      </c>
      <c r="E5" s="40">
        <v>1223.49</v>
      </c>
      <c r="F5" s="41">
        <f>E5/D5</f>
        <v>873.9214285714286</v>
      </c>
      <c r="G5" s="37">
        <f>VLOOKUP(C5,'Stock Prices'!$B$5:$D$18,3,FALSE)</f>
        <v>960.665</v>
      </c>
      <c r="H5" s="63">
        <f>G5*D5</f>
        <v>1344.9309999999998</v>
      </c>
      <c r="I5" s="42">
        <f>H5-E5</f>
        <v>121.4409999999998</v>
      </c>
      <c r="J5" s="43">
        <f>I5/E5</f>
        <v>0.09925786070993617</v>
      </c>
      <c r="K5" s="101">
        <f>(($H5/$E5)^(365/(TODAY()-$B5)))-1</f>
        <v>0.19379562484610813</v>
      </c>
      <c r="L5" s="73"/>
    </row>
    <row r="6" spans="1:11" ht="15">
      <c r="A6" s="8"/>
      <c r="B6" s="27">
        <f ca="1">TODAY()</f>
        <v>43006</v>
      </c>
      <c r="C6" s="10"/>
      <c r="D6" s="106">
        <f ca="1">SUM(D3:OFFSET(D6,-1,0))</f>
        <v>5.186909999999999</v>
      </c>
      <c r="E6" s="68">
        <f>-H6</f>
        <v>-4982.882895149999</v>
      </c>
      <c r="F6" s="30">
        <f>E7/D6</f>
        <v>793.3663780555283</v>
      </c>
      <c r="G6" s="44">
        <f>G3</f>
        <v>960.665</v>
      </c>
      <c r="H6" s="62">
        <f>D6*G6</f>
        <v>4982.882895149999</v>
      </c>
      <c r="I6" s="45">
        <f>H6-E7</f>
        <v>867.7628951499992</v>
      </c>
      <c r="J6" s="46">
        <f>I6/E7</f>
        <v>0.2108718324496003</v>
      </c>
      <c r="K6" s="71">
        <f>XIRR(E3:E6,B3:B6)</f>
        <v>0.1659143149852753</v>
      </c>
    </row>
    <row r="7" ht="12.75">
      <c r="E7" s="29">
        <f ca="1">SUM(E3:OFFSET(E7,-2,0))</f>
        <v>4115.12</v>
      </c>
    </row>
  </sheetData>
  <sheetProtection/>
  <conditionalFormatting sqref="K1:K2 K6">
    <cfRule type="cellIs" priority="63" dxfId="1" operator="greaterThan" stopIfTrue="1">
      <formula>0</formula>
    </cfRule>
    <cfRule type="cellIs" priority="64" dxfId="0" operator="lessThanOrEqual" stopIfTrue="1">
      <formula>0</formula>
    </cfRule>
  </conditionalFormatting>
  <conditionalFormatting sqref="I1:I2 I6">
    <cfRule type="cellIs" priority="65" dxfId="1" operator="greaterThanOrEqual" stopIfTrue="1">
      <formula>0</formula>
    </cfRule>
    <cfRule type="cellIs" priority="66" dxfId="0" operator="lessThan" stopIfTrue="1">
      <formula>0</formula>
    </cfRule>
  </conditionalFormatting>
  <conditionalFormatting sqref="J1:J2">
    <cfRule type="cellIs" priority="67" dxfId="1" operator="greaterThanOrEqual" stopIfTrue="1">
      <formula>0.1</formula>
    </cfRule>
    <cfRule type="cellIs" priority="68" dxfId="3" operator="between" stopIfTrue="1">
      <formula>0</formula>
      <formula>-2</formula>
    </cfRule>
    <cfRule type="cellIs" priority="69" dxfId="2" operator="between" stopIfTrue="1">
      <formula>0</formula>
      <formula>0.1</formula>
    </cfRule>
  </conditionalFormatting>
  <conditionalFormatting sqref="J6">
    <cfRule type="cellIs" priority="70" dxfId="7" operator="greaterThanOrEqual" stopIfTrue="1">
      <formula>0.5</formula>
    </cfRule>
    <cfRule type="cellIs" priority="71" dxfId="3" operator="lessThan" stopIfTrue="1">
      <formula>0.0001</formula>
    </cfRule>
    <cfRule type="cellIs" priority="72" dxfId="2" operator="greaterThanOrEqual" stopIfTrue="1">
      <formula>0.0001</formula>
    </cfRule>
  </conditionalFormatting>
  <conditionalFormatting sqref="K3">
    <cfRule type="cellIs" priority="23" dxfId="1" operator="greaterThan" stopIfTrue="1">
      <formula>0</formula>
    </cfRule>
    <cfRule type="cellIs" priority="24" dxfId="0" operator="lessThanOrEqual" stopIfTrue="1">
      <formula>0</formula>
    </cfRule>
  </conditionalFormatting>
  <conditionalFormatting sqref="I3">
    <cfRule type="cellIs" priority="25" dxfId="1" operator="greaterThanOrEqual" stopIfTrue="1">
      <formula>0</formula>
    </cfRule>
    <cfRule type="cellIs" priority="26" dxfId="0" operator="lessThan" stopIfTrue="1">
      <formula>0</formula>
    </cfRule>
  </conditionalFormatting>
  <conditionalFormatting sqref="J3">
    <cfRule type="cellIs" priority="27" dxfId="7" operator="greaterThanOrEqual" stopIfTrue="1">
      <formula>0.5</formula>
    </cfRule>
    <cfRule type="cellIs" priority="28" dxfId="3" operator="lessThan" stopIfTrue="1">
      <formula>0.0001</formula>
    </cfRule>
    <cfRule type="cellIs" priority="29" dxfId="2" operator="greaterThanOrEqual" stopIfTrue="1">
      <formula>0.0001</formula>
    </cfRule>
  </conditionalFormatting>
  <conditionalFormatting sqref="J3">
    <cfRule type="cellIs" priority="30" dxfId="2" operator="greaterThanOrEqual" stopIfTrue="1">
      <formula>0.5</formula>
    </cfRule>
    <cfRule type="cellIs" priority="31" dxfId="3" operator="lessThan" stopIfTrue="1">
      <formula>0.0001</formula>
    </cfRule>
    <cfRule type="cellIs" priority="32" dxfId="2" operator="greaterThanOrEqual" stopIfTrue="1">
      <formula>0.0001</formula>
    </cfRule>
  </conditionalFormatting>
  <conditionalFormatting sqref="K4">
    <cfRule type="cellIs" priority="13" dxfId="1" operator="greaterThan" stopIfTrue="1">
      <formula>0</formula>
    </cfRule>
    <cfRule type="cellIs" priority="14" dxfId="0" operator="lessThanOrEqual" stopIfTrue="1">
      <formula>0</formula>
    </cfRule>
  </conditionalFormatting>
  <conditionalFormatting sqref="I4">
    <cfRule type="cellIs" priority="15" dxfId="1" operator="greaterThanOrEqual" stopIfTrue="1">
      <formula>0</formula>
    </cfRule>
    <cfRule type="cellIs" priority="16" dxfId="0" operator="lessThan" stopIfTrue="1">
      <formula>0</formula>
    </cfRule>
  </conditionalFormatting>
  <conditionalFormatting sqref="J4">
    <cfRule type="cellIs" priority="17" dxfId="7" operator="greaterThanOrEqual" stopIfTrue="1">
      <formula>0.5</formula>
    </cfRule>
    <cfRule type="cellIs" priority="18" dxfId="3" operator="lessThan" stopIfTrue="1">
      <formula>0.0001</formula>
    </cfRule>
    <cfRule type="cellIs" priority="19" dxfId="2" operator="greaterThanOrEqual" stopIfTrue="1">
      <formula>0.0001</formula>
    </cfRule>
  </conditionalFormatting>
  <conditionalFormatting sqref="J4">
    <cfRule type="cellIs" priority="20" dxfId="2" operator="greaterThanOrEqual" stopIfTrue="1">
      <formula>0.5</formula>
    </cfRule>
    <cfRule type="cellIs" priority="21" dxfId="3" operator="lessThan" stopIfTrue="1">
      <formula>0.0001</formula>
    </cfRule>
    <cfRule type="cellIs" priority="22" dxfId="2" operator="greaterThanOrEqual" stopIfTrue="1">
      <formula>0.0001</formula>
    </cfRule>
  </conditionalFormatting>
  <conditionalFormatting sqref="I5">
    <cfRule type="cellIs" priority="5" dxfId="1" operator="greaterThanOrEqual" stopIfTrue="1">
      <formula>0</formula>
    </cfRule>
    <cfRule type="cellIs" priority="6" dxfId="0" operator="lessThan" stopIfTrue="1">
      <formula>0</formula>
    </cfRule>
  </conditionalFormatting>
  <conditionalFormatting sqref="J5">
    <cfRule type="cellIs" priority="7" dxfId="7" operator="greaterThanOrEqual" stopIfTrue="1">
      <formula>0.5</formula>
    </cfRule>
    <cfRule type="cellIs" priority="8" dxfId="3" operator="lessThan" stopIfTrue="1">
      <formula>0.0001</formula>
    </cfRule>
    <cfRule type="cellIs" priority="9" dxfId="2" operator="greaterThanOrEqual" stopIfTrue="1">
      <formula>0.0001</formula>
    </cfRule>
  </conditionalFormatting>
  <conditionalFormatting sqref="J5">
    <cfRule type="cellIs" priority="10" dxfId="2" operator="greaterThanOrEqual" stopIfTrue="1">
      <formula>0.5</formula>
    </cfRule>
    <cfRule type="cellIs" priority="11" dxfId="3" operator="lessThan" stopIfTrue="1">
      <formula>0.0001</formula>
    </cfRule>
    <cfRule type="cellIs" priority="12" dxfId="2" operator="greaterThanOrEqual" stopIfTrue="1">
      <formula>0.0001</formula>
    </cfRule>
  </conditionalFormatting>
  <conditionalFormatting sqref="K5">
    <cfRule type="cellIs" priority="1" dxfId="1" operator="greaterThan" stopIfTrue="1">
      <formula>0</formula>
    </cfRule>
    <cfRule type="cellIs" priority="2" dxfId="0" operator="lessThanOr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8">
    <tabColor indexed="47"/>
  </sheetPr>
  <dimension ref="A1:L5"/>
  <sheetViews>
    <sheetView zoomScalePageLayoutView="0" workbookViewId="0" topLeftCell="A1">
      <selection activeCell="A3" sqref="A3"/>
    </sheetView>
  </sheetViews>
  <sheetFormatPr defaultColWidth="9.140625" defaultRowHeight="12.75"/>
  <cols>
    <col min="4" max="4" width="10.00390625" style="0" bestFit="1" customWidth="1"/>
    <col min="5" max="5" width="9.7109375" style="0" bestFit="1" customWidth="1"/>
    <col min="6" max="6" width="10.00390625" style="0" bestFit="1" customWidth="1"/>
  </cols>
  <sheetData>
    <row r="1" spans="1:11" ht="13.5" thickBot="1">
      <c r="A1" s="16" t="s">
        <v>8</v>
      </c>
      <c r="B1" s="65" t="s">
        <v>4</v>
      </c>
      <c r="C1" s="18" t="s">
        <v>9</v>
      </c>
      <c r="D1" s="74" t="s">
        <v>10</v>
      </c>
      <c r="E1" s="75" t="s">
        <v>11</v>
      </c>
      <c r="F1" s="76" t="s">
        <v>12</v>
      </c>
      <c r="G1" s="77" t="s">
        <v>13</v>
      </c>
      <c r="H1" s="78" t="s">
        <v>14</v>
      </c>
      <c r="I1" s="79" t="s">
        <v>15</v>
      </c>
      <c r="J1" s="80" t="s">
        <v>16</v>
      </c>
      <c r="K1" s="69" t="s">
        <v>29</v>
      </c>
    </row>
    <row r="2" spans="1:12" ht="14.25">
      <c r="A2" s="25" t="s">
        <v>82</v>
      </c>
      <c r="B2" s="27"/>
      <c r="C2" s="10"/>
      <c r="D2" s="34"/>
      <c r="E2" s="35"/>
      <c r="F2" s="36"/>
      <c r="G2" s="81"/>
      <c r="H2" s="64"/>
      <c r="I2" s="38"/>
      <c r="J2" s="39"/>
      <c r="K2" s="82"/>
      <c r="L2" s="73"/>
    </row>
    <row r="3" spans="1:12" ht="12.75">
      <c r="A3" s="8"/>
      <c r="B3" s="27">
        <v>42844</v>
      </c>
      <c r="C3" s="113" t="s">
        <v>97</v>
      </c>
      <c r="D3" s="129">
        <v>47.10338</v>
      </c>
      <c r="E3" s="40">
        <v>1000</v>
      </c>
      <c r="F3" s="41">
        <f>E3/D3</f>
        <v>21.229899000878493</v>
      </c>
      <c r="G3" s="37">
        <f>VLOOKUP(C3,'Stock Prices'!$B$5:$D$18,3,FALSE)</f>
        <v>18.47</v>
      </c>
      <c r="H3" s="63">
        <f>G3*D3</f>
        <v>869.9994286</v>
      </c>
      <c r="I3" s="42">
        <f>H3-E3</f>
        <v>-130.0005714</v>
      </c>
      <c r="J3" s="43">
        <f>I3/E3</f>
        <v>-0.13000057140000001</v>
      </c>
      <c r="K3" s="101">
        <f>(($H3/$E3)^(365/(TODAY()-$B3)))-1</f>
        <v>-0.2693136291063918</v>
      </c>
      <c r="L3" s="73"/>
    </row>
    <row r="4" spans="1:11" ht="15">
      <c r="A4" s="8"/>
      <c r="B4" s="27">
        <f ca="1">TODAY()</f>
        <v>43006</v>
      </c>
      <c r="C4" s="10"/>
      <c r="D4" s="106">
        <f ca="1">SUM(D3:OFFSET(D4,-1,0))</f>
        <v>47.10338</v>
      </c>
      <c r="E4" s="68">
        <f>-H4</f>
        <v>-869.9994286</v>
      </c>
      <c r="F4" s="30">
        <f>E5/D4</f>
        <v>21.229899000878493</v>
      </c>
      <c r="G4" s="44">
        <f>G3</f>
        <v>18.47</v>
      </c>
      <c r="H4" s="62">
        <f>D4*G4</f>
        <v>869.9994286</v>
      </c>
      <c r="I4" s="45">
        <f>H4-E5</f>
        <v>-130.0005714</v>
      </c>
      <c r="J4" s="46">
        <f>I4/E5</f>
        <v>-0.13000057140000001</v>
      </c>
      <c r="K4" s="71">
        <f>XIRR(E3:E4,B3:B4)</f>
        <v>-0.2693136326968671</v>
      </c>
    </row>
    <row r="5" ht="12.75">
      <c r="E5" s="29">
        <f ca="1">SUM(E3:OFFSET(E5,-2,0))</f>
        <v>1000</v>
      </c>
    </row>
  </sheetData>
  <sheetProtection/>
  <conditionalFormatting sqref="K1:K2 K4">
    <cfRule type="cellIs" priority="3" dxfId="1" operator="greaterThan" stopIfTrue="1">
      <formula>0</formula>
    </cfRule>
    <cfRule type="cellIs" priority="4" dxfId="0" operator="lessThanOrEqual" stopIfTrue="1">
      <formula>0</formula>
    </cfRule>
  </conditionalFormatting>
  <conditionalFormatting sqref="I1:I4">
    <cfRule type="cellIs" priority="5" dxfId="1" operator="greaterThanOrEqual" stopIfTrue="1">
      <formula>0</formula>
    </cfRule>
    <cfRule type="cellIs" priority="6" dxfId="0" operator="lessThan" stopIfTrue="1">
      <formula>0</formula>
    </cfRule>
  </conditionalFormatting>
  <conditionalFormatting sqref="J1:J2">
    <cfRule type="cellIs" priority="7" dxfId="1" operator="greaterThanOrEqual" stopIfTrue="1">
      <formula>0.1</formula>
    </cfRule>
    <cfRule type="cellIs" priority="8" dxfId="3" operator="between" stopIfTrue="1">
      <formula>0</formula>
      <formula>-2</formula>
    </cfRule>
    <cfRule type="cellIs" priority="9" dxfId="2" operator="between" stopIfTrue="1">
      <formula>0</formula>
      <formula>0.1</formula>
    </cfRule>
  </conditionalFormatting>
  <conditionalFormatting sqref="J3:J4">
    <cfRule type="cellIs" priority="10" dxfId="7" operator="greaterThanOrEqual" stopIfTrue="1">
      <formula>0.5</formula>
    </cfRule>
    <cfRule type="cellIs" priority="11" dxfId="3" operator="lessThan" stopIfTrue="1">
      <formula>0.0001</formula>
    </cfRule>
    <cfRule type="cellIs" priority="12" dxfId="2" operator="greaterThanOrEqual" stopIfTrue="1">
      <formula>0.0001</formula>
    </cfRule>
  </conditionalFormatting>
  <conditionalFormatting sqref="J3">
    <cfRule type="cellIs" priority="13" dxfId="2" operator="greaterThanOrEqual" stopIfTrue="1">
      <formula>0.5</formula>
    </cfRule>
    <cfRule type="cellIs" priority="14" dxfId="3" operator="lessThan" stopIfTrue="1">
      <formula>0.0001</formula>
    </cfRule>
    <cfRule type="cellIs" priority="15" dxfId="2" operator="greaterThanOrEqual" stopIfTrue="1">
      <formula>0.0001</formula>
    </cfRule>
  </conditionalFormatting>
  <conditionalFormatting sqref="K3">
    <cfRule type="cellIs" priority="1" dxfId="1" operator="greaterThan" stopIfTrue="1">
      <formula>0</formula>
    </cfRule>
    <cfRule type="cellIs" priority="2" dxfId="0" operator="lessThanOr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Portfolio Monitoring Spreadsheet</dc:title>
  <dc:subject/>
  <dc:creator>Bob Mann</dc:creator>
  <cp:keywords/>
  <dc:description>Get's current price quotes for a list of stock ticker symbols. The price is used to monitor a portfolio of stock.</dc:description>
  <cp:lastModifiedBy>Mann, Bob (R.C.)</cp:lastModifiedBy>
  <cp:lastPrinted>2016-12-20T16:02:53Z</cp:lastPrinted>
  <dcterms:created xsi:type="dcterms:W3CDTF">2002-06-28T20:46:06Z</dcterms:created>
  <dcterms:modified xsi:type="dcterms:W3CDTF">2017-09-28T17:01:58Z</dcterms:modified>
  <cp:category/>
  <cp:version/>
  <cp:contentType/>
  <cp:contentStatus/>
</cp:coreProperties>
</file>