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46" windowWidth="15480" windowHeight="11340" activeTab="0"/>
  </bookViews>
  <sheets>
    <sheet name="Bank Analysis" sheetId="1" r:id="rId1"/>
    <sheet name="Statement" sheetId="2" state="hidden" r:id="rId2"/>
    <sheet name="Memo" sheetId="3" state="hidden" r:id="rId3"/>
  </sheets>
  <definedNames>
    <definedName name="Bank_statement_Bankrate" localSheetId="1">'Statement'!$A$2:$E$194</definedName>
    <definedName name="Bank_Statement_MEMO_Bankrate" localSheetId="2">'Memo'!$A$2:$E$257</definedName>
    <definedName name="financial_statements.aspx?fedid_2684552" localSheetId="1">'Statement'!#REF!</definedName>
    <definedName name="memorandums_memos.aspx?fedid_2684552" localSheetId="2">'Memo'!#REF!</definedName>
    <definedName name="_xlnm.Print_Area" localSheetId="0">'Bank Analysis'!$B$1:$I$47</definedName>
  </definedNames>
  <calcPr fullCalcOnLoad="1"/>
</workbook>
</file>

<file path=xl/comments1.xml><?xml version="1.0" encoding="utf-8"?>
<comments xmlns="http://schemas.openxmlformats.org/spreadsheetml/2006/main">
  <authors>
    <author>Bob Adams</author>
  </authors>
  <commentList>
    <comment ref="F4" authorId="0">
      <text>
        <r>
          <rPr>
            <sz val="9"/>
            <rFont val="Tahoma"/>
            <family val="2"/>
          </rPr>
          <t>There are two commonly used formulas for determining Efficiency Ratio.  Most banks will indicate which formula used, however if the same formula is used for all companies, the comparison is valid.</t>
        </r>
        <r>
          <rPr>
            <sz val="8"/>
            <rFont val="Tahoma"/>
            <family val="0"/>
          </rPr>
          <t xml:space="preserve">
</t>
        </r>
        <r>
          <rPr>
            <sz val="9"/>
            <rFont val="Tahoma"/>
            <family val="2"/>
          </rPr>
          <t>The smaller the number the better the efficiency.</t>
        </r>
      </text>
    </comment>
    <comment ref="F7" authorId="0">
      <text>
        <r>
          <rPr>
            <sz val="9"/>
            <rFont val="Tahoma"/>
            <family val="2"/>
          </rPr>
          <t xml:space="preserve">ROA -- A measure of a company's profitability, equal to a fiscal year's earnings divided by its total assets, expressed as a percentage. 
</t>
        </r>
        <r>
          <rPr>
            <sz val="8"/>
            <rFont val="Tahoma"/>
            <family val="0"/>
          </rPr>
          <t xml:space="preserve">
</t>
        </r>
      </text>
    </comment>
    <comment ref="R3" authorId="0">
      <text>
        <r>
          <rPr>
            <sz val="8"/>
            <rFont val="Tahoma"/>
            <family val="0"/>
          </rPr>
          <t xml:space="preserve">Thousands, Millions, Billions
</t>
        </r>
      </text>
    </comment>
    <comment ref="F10" authorId="0">
      <text>
        <r>
          <rPr>
            <sz val="9"/>
            <rFont val="Tahoma"/>
            <family val="2"/>
          </rPr>
          <t xml:space="preserve">ROE is used as a general indication of the company's efficiency; in other words, how much profit it is able to generate given the resources provided by its stockholders. investors usually look for companies with returns on equity that are high and growing. </t>
        </r>
        <r>
          <rPr>
            <b/>
            <sz val="8"/>
            <rFont val="Tahoma"/>
            <family val="0"/>
          </rPr>
          <t xml:space="preserve">
</t>
        </r>
        <r>
          <rPr>
            <sz val="8"/>
            <rFont val="Tahoma"/>
            <family val="0"/>
          </rPr>
          <t xml:space="preserve">
</t>
        </r>
      </text>
    </comment>
    <comment ref="F13" authorId="0">
      <text>
        <r>
          <rPr>
            <sz val="9"/>
            <rFont val="Tahoma"/>
            <family val="2"/>
          </rPr>
          <t xml:space="preserve">This ratio represents the efficiency with which capital is being utilized to generate revenue. </t>
        </r>
        <r>
          <rPr>
            <sz val="8"/>
            <rFont val="Tahoma"/>
            <family val="0"/>
          </rPr>
          <t xml:space="preserve">
</t>
        </r>
      </text>
    </comment>
    <comment ref="F27" authorId="0">
      <text>
        <r>
          <rPr>
            <sz val="9"/>
            <rFont val="Tahoma"/>
            <family val="2"/>
          </rPr>
          <t xml:space="preserve">The difference between interest income and interest expenses, divided by average earning assets. </t>
        </r>
        <r>
          <rPr>
            <sz val="8"/>
            <rFont val="Tahoma"/>
            <family val="0"/>
          </rPr>
          <t xml:space="preserve">
</t>
        </r>
      </text>
    </comment>
    <comment ref="F20" authorId="0">
      <text>
        <r>
          <rPr>
            <sz val="9"/>
            <rFont val="Tahoma"/>
            <family val="2"/>
          </rPr>
          <t xml:space="preserve">Loans should be growing faster than Loan Loss Provision.  
</t>
        </r>
      </text>
    </comment>
    <comment ref="E2" authorId="0">
      <text>
        <r>
          <rPr>
            <sz val="9"/>
            <rFont val="Tahoma"/>
            <family val="2"/>
          </rPr>
          <t>This column lists the minimum /maximum values desired.  Use them only as guides.</t>
        </r>
        <r>
          <rPr>
            <sz val="8"/>
            <rFont val="Tahoma"/>
            <family val="0"/>
          </rPr>
          <t xml:space="preserve">
</t>
        </r>
      </text>
    </comment>
    <comment ref="F39" authorId="0">
      <text>
        <r>
          <rPr>
            <sz val="10"/>
            <rFont val="Tahoma"/>
            <family val="2"/>
          </rPr>
          <t xml:space="preserve">Type the number into this cell.  Example: </t>
        </r>
        <r>
          <rPr>
            <b/>
            <sz val="10"/>
            <rFont val="Tahoma"/>
            <family val="2"/>
          </rPr>
          <t>5.3</t>
        </r>
        <r>
          <rPr>
            <sz val="10"/>
            <rFont val="Tahoma"/>
            <family val="2"/>
          </rPr>
          <t xml:space="preserve"> for 5.3%.
The difference between the average interest received and the average interest rate paid.
</t>
        </r>
      </text>
    </comment>
    <comment ref="R21" authorId="0">
      <text>
        <r>
          <rPr>
            <b/>
            <sz val="8"/>
            <rFont val="Tahoma"/>
            <family val="0"/>
          </rPr>
          <t>See Note 1 below</t>
        </r>
        <r>
          <rPr>
            <sz val="8"/>
            <rFont val="Tahoma"/>
            <family val="0"/>
          </rPr>
          <t xml:space="preserve">
</t>
        </r>
      </text>
    </comment>
    <comment ref="H5" authorId="0">
      <text>
        <r>
          <rPr>
            <sz val="10"/>
            <rFont val="Tahoma"/>
            <family val="2"/>
          </rPr>
          <t xml:space="preserve">This type of loan (1-4 family units and </t>
        </r>
        <r>
          <rPr>
            <u val="single"/>
            <sz val="10"/>
            <rFont val="Tahoma"/>
            <family val="2"/>
          </rPr>
          <t>M</t>
        </r>
        <r>
          <rPr>
            <sz val="10"/>
            <rFont val="Tahoma"/>
            <family val="2"/>
          </rPr>
          <t xml:space="preserve">ortgage </t>
        </r>
        <r>
          <rPr>
            <u val="single"/>
            <sz val="10"/>
            <rFont val="Tahoma"/>
            <family val="2"/>
          </rPr>
          <t>B</t>
        </r>
        <r>
          <rPr>
            <sz val="10"/>
            <rFont val="Tahoma"/>
            <family val="2"/>
          </rPr>
          <t xml:space="preserve">acked </t>
        </r>
        <r>
          <rPr>
            <u val="single"/>
            <sz val="10"/>
            <rFont val="Tahoma"/>
            <family val="2"/>
          </rPr>
          <t>S</t>
        </r>
        <r>
          <rPr>
            <sz val="10"/>
            <rFont val="Tahoma"/>
            <family val="2"/>
          </rPr>
          <t>ecurities) represents the least risk.  
In a normal economy this type of loan is considered to hold the least risk and a high percentage of this type of loan to other loans is desirable.
[% = Amount of this type of loan / Total Assets]</t>
        </r>
      </text>
    </comment>
    <comment ref="H6" authorId="0">
      <text>
        <r>
          <rPr>
            <sz val="10"/>
            <rFont val="Tahoma"/>
            <family val="2"/>
          </rPr>
          <t>This type of loan represents medium risk.
[% = Amount of this type of loan / Total Assets]</t>
        </r>
      </text>
    </comment>
    <comment ref="H7" authorId="0">
      <text>
        <r>
          <rPr>
            <sz val="10"/>
            <rFont val="Tahoma"/>
            <family val="2"/>
          </rPr>
          <t>This type of loan represents the most risk.  If this value is high in relation to the 1-4 Family home Mortgages above, the risk is elevated.
[% = Amount of this type of loan / Total Assets]</t>
        </r>
      </text>
    </comment>
    <comment ref="H8" authorId="0">
      <text>
        <r>
          <rPr>
            <sz val="10"/>
            <rFont val="Tahoma"/>
            <family val="2"/>
          </rPr>
          <t xml:space="preserve">This type of loan represents medium risk.  Many banks don't issue this type of loan. 
[% = Amount of this type of loan / Total Assets]
</t>
        </r>
      </text>
    </comment>
    <comment ref="H9" authorId="0">
      <text>
        <r>
          <rPr>
            <sz val="10"/>
            <rFont val="Tahoma"/>
            <family val="2"/>
          </rPr>
          <t>This type of loan is</t>
        </r>
        <r>
          <rPr>
            <b/>
            <sz val="10"/>
            <rFont val="Tahoma"/>
            <family val="2"/>
          </rPr>
          <t xml:space="preserve"> </t>
        </r>
        <r>
          <rPr>
            <sz val="10"/>
            <rFont val="Tahoma"/>
            <family val="2"/>
          </rPr>
          <t>usually quite small and represents medium risk.
[% = Amount of this type of loan / Total Assets]</t>
        </r>
      </text>
    </comment>
  </commentList>
</comments>
</file>

<file path=xl/sharedStrings.xml><?xml version="1.0" encoding="utf-8"?>
<sst xmlns="http://schemas.openxmlformats.org/spreadsheetml/2006/main" count="580" uniqueCount="370">
  <si>
    <t>Very Healthy</t>
  </si>
  <si>
    <t>Significantly Below Norm</t>
  </si>
  <si>
    <t>Capital Adequacy</t>
  </si>
  <si>
    <t>Accounting principles require some securities to be categorized as "Available-for-Sale." Changes in market value of these securities are reflected through the GAAP (Generally Accepted Accounting Principles) net worth of the institution. Based upon the bank's present balance sheet, changes in the value of the current level of securities reported as "Available-for-Sale" are very likely to have a substantial impact upon future net worth of the bank.</t>
  </si>
  <si>
    <r>
      <t>Locate the "</t>
    </r>
    <r>
      <rPr>
        <b/>
        <sz val="10"/>
        <color indexed="12"/>
        <rFont val="Arial Narrow"/>
        <family val="2"/>
      </rPr>
      <t>Federal Reserve System Identifier</t>
    </r>
    <r>
      <rPr>
        <sz val="10"/>
        <rFont val="Arial Narrow"/>
        <family val="2"/>
      </rPr>
      <t>" number on the page and make</t>
    </r>
  </si>
  <si>
    <r>
      <t xml:space="preserve"> a copy of it.</t>
    </r>
    <r>
      <rPr>
        <sz val="10"/>
        <color indexed="10"/>
        <rFont val="Arial Narrow"/>
        <family val="2"/>
      </rPr>
      <t xml:space="preserve"> (Only a Federal Reserve Identifier number will work)</t>
    </r>
  </si>
  <si>
    <t>version 4.05</t>
  </si>
  <si>
    <r>
      <t>DO NOT</t>
    </r>
    <r>
      <rPr>
        <i/>
        <sz val="10"/>
        <rFont val="Arial"/>
        <family val="2"/>
      </rPr>
      <t xml:space="preserve"> paste it from BankRate.com</t>
    </r>
  </si>
  <si>
    <r>
      <t>&lt;&lt;&lt;</t>
    </r>
    <r>
      <rPr>
        <i/>
        <sz val="10"/>
        <rFont val="Arial"/>
        <family val="2"/>
      </rPr>
      <t xml:space="preserve"> Type the ID number here</t>
    </r>
  </si>
  <si>
    <t xml:space="preserve">All data opinions and STAR Ratings shown are from BankRate.com.  </t>
  </si>
  <si>
    <t>Citizens 1st Bank</t>
  </si>
  <si>
    <t>curr year</t>
  </si>
  <si>
    <t>prior year</t>
  </si>
  <si>
    <t>Interest Rate Spread.  It-s not normally reported but it's important.</t>
  </si>
  <si>
    <t>1st Bank of Yuma Arazona</t>
  </si>
  <si>
    <t>UMB AG</t>
  </si>
  <si>
    <t>Banner Bank, Washington</t>
  </si>
  <si>
    <t>4 stars</t>
  </si>
  <si>
    <t>The New Washington State Bank</t>
  </si>
  <si>
    <t>Step 3</t>
  </si>
  <si>
    <t>Step 4</t>
  </si>
  <si>
    <t>Type the number into the cell below and press the Enter key.</t>
  </si>
  <si>
    <t>As a percentage of average Assets</t>
  </si>
  <si>
    <t>Percentage</t>
  </si>
  <si>
    <t>1 star</t>
  </si>
  <si>
    <t>2 stars</t>
  </si>
  <si>
    <t>3 stars</t>
  </si>
  <si>
    <t>[Nonperforming Assets / Equity plus Loss Reserves]</t>
  </si>
  <si>
    <t>Loss Reserve Coverage</t>
  </si>
  <si>
    <t>Loan Loss Reserves / Non Performing Loans</t>
  </si>
  <si>
    <t>&gt;100</t>
  </si>
  <si>
    <t xml:space="preserve">The higher the percentage of 1-4 Family Home </t>
  </si>
  <si>
    <t xml:space="preserve">Mortages the better--under normal market conditions.  </t>
  </si>
  <si>
    <t>If Construction loans are prevalent, the risk is high.</t>
  </si>
  <si>
    <t xml:space="preserve">It is suggested Investor Relations be called and asked for the </t>
  </si>
  <si>
    <t>Wells Fargo, California</t>
  </si>
  <si>
    <t>Expected
Value</t>
  </si>
  <si>
    <t>Actual
Value</t>
  </si>
  <si>
    <t>Income Statement</t>
  </si>
  <si>
    <r>
      <t>Efficiency Ratio</t>
    </r>
    <r>
      <rPr>
        <sz val="10"/>
        <rFont val="Arial"/>
        <family val="0"/>
      </rPr>
      <t xml:space="preserve"> </t>
    </r>
    <r>
      <rPr>
        <sz val="8"/>
        <color indexed="60"/>
        <rFont val="Arial"/>
        <family val="2"/>
      </rPr>
      <t>(A lower number is best)</t>
    </r>
  </si>
  <si>
    <t>&lt;60%</t>
  </si>
  <si>
    <t>Total Interest Income</t>
  </si>
  <si>
    <t>Total Interest Expense</t>
  </si>
  <si>
    <t>Net Interest Income before Loan Losses</t>
  </si>
  <si>
    <t>Cur. Yr. Provision for Loan Losses</t>
  </si>
  <si>
    <t>[Net Income / Average Total Assets]</t>
  </si>
  <si>
    <t>Prior Yr. Provision for Loan Losses</t>
  </si>
  <si>
    <t>Total Noninterest Income</t>
  </si>
  <si>
    <r>
      <t>ROE</t>
    </r>
    <r>
      <rPr>
        <sz val="10"/>
        <rFont val="Arial"/>
        <family val="0"/>
      </rPr>
      <t xml:space="preserve"> </t>
    </r>
    <r>
      <rPr>
        <sz val="8"/>
        <rFont val="Arial"/>
        <family val="2"/>
      </rPr>
      <t>(Return on Average Equity)</t>
    </r>
  </si>
  <si>
    <t>Total Noninterest Expenses</t>
  </si>
  <si>
    <t>[Net Income / Avg. Shareholders' Equity]</t>
  </si>
  <si>
    <t>Net Income</t>
  </si>
  <si>
    <t>Consolidated Balance Sheet</t>
  </si>
  <si>
    <t>Capital Adequacy (Capital Ratio)</t>
  </si>
  <si>
    <t>&gt;8-10%</t>
  </si>
  <si>
    <t>Cur. Yr. Total Investment Loans</t>
  </si>
  <si>
    <t>[Total Stockholders Equity / Total Assets]</t>
  </si>
  <si>
    <t>Prior Yr. Total Investment Loans</t>
  </si>
  <si>
    <t>Cur. Yr. Total Assets</t>
  </si>
  <si>
    <t>&gt;5%</t>
  </si>
  <si>
    <t>Prior Yr. Total Assets</t>
  </si>
  <si>
    <t>Cur. Yr. Total stockholders' equity</t>
  </si>
  <si>
    <t>Prior Yr. Total stockholders' equity</t>
  </si>
  <si>
    <t>Key Financial Ratios or Selected Financial Data</t>
  </si>
  <si>
    <t>Provision for Loan Losses as a % of Total Loans</t>
  </si>
  <si>
    <t>Net Interest margin</t>
  </si>
  <si>
    <t xml:space="preserve">[Provision for Loan Losses / Total Investment loans]  </t>
  </si>
  <si>
    <t>Net Interest Rate Spread</t>
  </si>
  <si>
    <r>
      <t>Loans</t>
    </r>
    <r>
      <rPr>
        <sz val="10"/>
        <rFont val="Arial"/>
        <family val="2"/>
      </rPr>
      <t xml:space="preserve"> -- change from prior year</t>
    </r>
  </si>
  <si>
    <t>Net Interest Margin</t>
  </si>
  <si>
    <t xml:space="preserve">Net interest margin is a guide to the profitability of a companies investments. </t>
  </si>
  <si>
    <t>Interest Rate Spread</t>
  </si>
  <si>
    <t>&gt;3%</t>
  </si>
  <si>
    <t>The difference between what is received in interest and what is paid in interest.</t>
  </si>
  <si>
    <t>Nonperforming assets as a percent of total assets</t>
  </si>
  <si>
    <t>&lt;1%</t>
  </si>
  <si>
    <t>Curr. Yr.</t>
  </si>
  <si>
    <t>Prior Yr.</t>
  </si>
  <si>
    <t>Nonperforming assets as a % of total assets</t>
  </si>
  <si>
    <t>&gt;1%</t>
  </si>
  <si>
    <t>Commercial Real Estate Loans (Medium risk)</t>
  </si>
  <si>
    <t>Construction Loans (Most risk)</t>
  </si>
  <si>
    <t>Commercial and Industrial loans (Medium risk)</t>
  </si>
  <si>
    <t>Consumer Loans (Medium risk)</t>
  </si>
  <si>
    <t>Type of Loans &amp; Percentage held</t>
  </si>
  <si>
    <r>
      <t>ROA</t>
    </r>
    <r>
      <rPr>
        <sz val="10"/>
        <rFont val="Arial"/>
        <family val="0"/>
      </rPr>
      <t xml:space="preserve"> </t>
    </r>
    <r>
      <rPr>
        <sz val="8"/>
        <rFont val="Arial"/>
        <family val="2"/>
      </rPr>
      <t xml:space="preserve">(Return on Average Assets) </t>
    </r>
  </si>
  <si>
    <t>Millions</t>
  </si>
  <si>
    <t>1-4 Family home Mortgages.+MBS (Least risk)</t>
  </si>
  <si>
    <t>[Compares  Non-Interest expenses to Total Income (Interest and non-interest income)]</t>
  </si>
  <si>
    <t>http://www.bankrate.com/rates/safe-sound/financial-statements.aspx?fedid=2684552</t>
  </si>
  <si>
    <t>Bankrate.com</t>
  </si>
  <si>
    <t>Quick links: Bank ratings | Graph rates | 100 High Yield CDs</t>
  </si>
  <si>
    <t>Search Bankrate.com</t>
  </si>
  <si>
    <t>Search</t>
  </si>
  <si>
    <t>Home</t>
  </si>
  <si>
    <t>Compare Rates</t>
  </si>
  <si>
    <t>Calculators</t>
  </si>
  <si>
    <t>News &amp; Advice</t>
  </si>
  <si>
    <t>Life &amp; Money</t>
  </si>
  <si>
    <t>Blogs</t>
  </si>
  <si>
    <t>Mortgage</t>
  </si>
  <si>
    <t>Refinance</t>
  </si>
  <si>
    <t>Equity</t>
  </si>
  <si>
    <t>CDs &amp;</t>
  </si>
  <si>
    <t>Investments</t>
  </si>
  <si>
    <t>Checking &amp;</t>
  </si>
  <si>
    <t>Savings</t>
  </si>
  <si>
    <t>Auto</t>
  </si>
  <si>
    <t>Credit</t>
  </si>
  <si>
    <t>Cards</t>
  </si>
  <si>
    <t>Debt</t>
  </si>
  <si>
    <t>Management</t>
  </si>
  <si>
    <t>Insurance</t>
  </si>
  <si>
    <t>College</t>
  </si>
  <si>
    <t>Finance</t>
  </si>
  <si>
    <t>Retirement</t>
  </si>
  <si>
    <t>Taxes</t>
  </si>
  <si>
    <t>Find rates</t>
  </si>
  <si>
    <t>Home Equity</t>
  </si>
  <si>
    <t>100 Highest CD yields</t>
  </si>
  <si>
    <t>100 Highest MMAs</t>
  </si>
  <si>
    <t>Credit Cards</t>
  </si>
  <si>
    <t>Checking</t>
  </si>
  <si>
    <t>College Finance</t>
  </si>
  <si>
    <t>Personal Loans</t>
  </si>
  <si>
    <t>Credit Unions</t>
  </si>
  <si>
    <t>advertisement</t>
  </si>
  <si>
    <t>PrintE-mail</t>
  </si>
  <si>
    <t>SAFE &amp; SOUND® STAR RATINGS™</t>
  </si>
  <si>
    <t>Financial statement</t>
  </si>
  <si>
    <t>Financial summary ($ in Thousands)</t>
  </si>
  <si>
    <t>Year</t>
  </si>
  <si>
    <t>Total Assets</t>
  </si>
  <si>
    <t>Loans Receivable, Net</t>
  </si>
  <si>
    <t>Mortgage-Backed Securities</t>
  </si>
  <si>
    <t>Deposits</t>
  </si>
  <si>
    <t>Borrowings</t>
  </si>
  <si>
    <t>Net Interest Income</t>
  </si>
  <si>
    <t>Fee Income</t>
  </si>
  <si>
    <t>Overhead</t>
  </si>
  <si>
    <t>Net Operating Income</t>
  </si>
  <si>
    <t>Ratio Analysis Profitability</t>
  </si>
  <si>
    <t>%</t>
  </si>
  <si>
    <t>Return on Equity</t>
  </si>
  <si>
    <t>Efficiency Ratio</t>
  </si>
  <si>
    <t>Asset Quality</t>
  </si>
  <si>
    <t>Nonperforming Assets / Assets</t>
  </si>
  <si>
    <t>Nonperforming Assets / Equity &amp; Loss Reserves</t>
  </si>
  <si>
    <t>Loss Reserves / Loans</t>
  </si>
  <si>
    <t>1-4 Fam Mtg + MBS / Assets</t>
  </si>
  <si>
    <t>Commercial Real Estate Loans / Assets</t>
  </si>
  <si>
    <t>Construction Loans / Assets</t>
  </si>
  <si>
    <t>Commercial &amp; Industrial Loans / Assets</t>
  </si>
  <si>
    <t>Consumer Loans / Assets</t>
  </si>
  <si>
    <t>Capitalization</t>
  </si>
  <si>
    <t>Equity / Assets</t>
  </si>
  <si>
    <t>Tangible Capital / Tangible Assets</t>
  </si>
  <si>
    <t>Risk-based Capital Ratio</t>
  </si>
  <si>
    <t>Liquidity</t>
  </si>
  <si>
    <t>Loans / Deposits</t>
  </si>
  <si>
    <t>Non-Interest Bearing Deposits / Deposits</t>
  </si>
  <si>
    <t>Jumbo CDs &amp; Borrowings / Assets</t>
  </si>
  <si>
    <t>Click for the best CD rates in your state</t>
  </si>
  <si>
    <t>Compare CDs &amp; InvestmentÂ»</t>
  </si>
  <si>
    <t>CERTIFICATES OFDEPOSIT (CDs)</t>
  </si>
  <si>
    <t>High yield 6 month CD</t>
  </si>
  <si>
    <t>High yield 1 year CD</t>
  </si>
  <si>
    <t>High yield 2 year CD</t>
  </si>
  <si>
    <t>High yield 5 year CD</t>
  </si>
  <si>
    <t>High yield jumbo 6 month CD</t>
  </si>
  <si>
    <t>High yield jumbo 1 year CD</t>
  </si>
  <si>
    <t>High yield 5 year IRA CD</t>
  </si>
  <si>
    <t>Local 1 year CD</t>
  </si>
  <si>
    <t>Local 2 year CD</t>
  </si>
  <si>
    <t>See all CDs</t>
  </si>
  <si>
    <t>MONEY MARKET ACCOUNTS (MMAs)</t>
  </si>
  <si>
    <t>High yield MMA</t>
  </si>
  <si>
    <t>High yield $10,000 MMA</t>
  </si>
  <si>
    <t>High yield $25,000 MMA</t>
  </si>
  <si>
    <t>High yield $50,000 MMA</t>
  </si>
  <si>
    <t>High yield jumbo MMA</t>
  </si>
  <si>
    <t>Local MMA</t>
  </si>
  <si>
    <t>Local $10,000 MMA</t>
  </si>
  <si>
    <t>Local $25,000 MMA</t>
  </si>
  <si>
    <t>Local $50,000 MMA</t>
  </si>
  <si>
    <t>See all MMAs</t>
  </si>
  <si>
    <t>Compare 1 year High Yield CDs</t>
  </si>
  <si>
    <t>Modify Search</t>
  </si>
  <si>
    <t>Choose institution type:</t>
  </si>
  <si>
    <t>Banks/Thrifts</t>
  </si>
  <si>
    <t>Credit Union</t>
  </si>
  <si>
    <t>Search by name:</t>
  </si>
  <si>
    <t>Choose star rating:</t>
  </si>
  <si>
    <t>Search by asset size</t>
  </si>
  <si>
    <t>Headquarters advanced search by state/city/ZIP</t>
  </si>
  <si>
    <t>State:</t>
  </si>
  <si>
    <t>City:</t>
  </si>
  <si>
    <t xml:space="preserve">Zip Code: </t>
  </si>
  <si>
    <t>Update</t>
  </si>
  <si>
    <t>About this index</t>
  </si>
  <si>
    <t>CDs Overnight Averages</t>
  </si>
  <si>
    <t>Product</t>
  </si>
  <si>
    <t>Yield</t>
  </si>
  <si>
    <t>+/-</t>
  </si>
  <si>
    <t xml:space="preserve">Last week </t>
  </si>
  <si>
    <t xml:space="preserve">6 Mo CD </t>
  </si>
  <si>
    <t xml:space="preserve">1 Yr CD </t>
  </si>
  <si>
    <t xml:space="preserve">5 Yr CD </t>
  </si>
  <si>
    <t xml:space="preserve">1 Yr Jumbo CD </t>
  </si>
  <si>
    <t>Compare rates:</t>
  </si>
  <si>
    <t>Ask Dr. DonÂ»</t>
  </si>
  <si>
    <t>Don Taylorinvesting</t>
  </si>
  <si>
    <t>View more Bankrate Advisers Â»</t>
  </si>
  <si>
    <t>Safe &amp; Sound RatingsÂ»</t>
  </si>
  <si>
    <t>Is your money safe?</t>
  </si>
  <si>
    <t>or ? See your bank, thrift or credit union's star rating. Find one that's safe enough for you.</t>
  </si>
  <si>
    <t>See star ratings explanation Â»</t>
  </si>
  <si>
    <t>Sign up for Bankrate's CD rate alerts!</t>
  </si>
  <si>
    <t xml:space="preserve">Rather watch TV than CD rates? </t>
  </si>
  <si>
    <t>We'll notify you when rates hit your target.</t>
  </si>
  <si>
    <t xml:space="preserve">Sign up now! It's simple. Â» </t>
  </si>
  <si>
    <t>RSS icon</t>
  </si>
  <si>
    <t>Subscribe:RSS Feeds</t>
  </si>
  <si>
    <t>About us</t>
  </si>
  <si>
    <t>Advertise with Bankrate</t>
  </si>
  <si>
    <t>Partners</t>
  </si>
  <si>
    <t>Press Room</t>
  </si>
  <si>
    <t>Site Tour</t>
  </si>
  <si>
    <t>Free Content Center</t>
  </si>
  <si>
    <t>Contact Us</t>
  </si>
  <si>
    <t>Sitemap</t>
  </si>
  <si>
    <t>Topics</t>
  </si>
  <si>
    <t>Understanding Bankrate's rate averages</t>
  </si>
  <si>
    <t>Privacy</t>
  </si>
  <si>
    <t>Terms of Use</t>
  </si>
  <si>
    <t>SAFE &amp; SOUNDÂ® STAR RATINGSâ¢</t>
  </si>
  <si>
    <t>Memorandum on findings</t>
  </si>
  <si>
    <t>INTRODUCTION</t>
  </si>
  <si>
    <t>U.S. commercial banks are chartered under either federal or state jurisdiction for the purposes of accepting funds for deposit and extending loans to either individual or business borrowers. Banks are subject to credit, interest rate, and operational risk, and, because of both their public purpose and their importance to the nation's economy, banks are the object of intense regulatory scrutiny.</t>
  </si>
  <si>
    <t>The Bankrate proprietary commercial bank rating model analyzes capitalization, asset quality, earnings, and liquidity and produces composite and component "Star" ratings that can be used as a measure of the rated entity's financial safety and soundness. Additionally, early warning components of the model highlight operating characteristics of immediate concern and recommended follow-up actions. "The analyses are not adjusted for TARP funding and those institutions receiving funds may receive ratings that would differ were the TARP funds adjusted out of the analyses. You can check whether or not this institution has received TARP funding and whether or not they have paid it back at http://bailout.propublica.org/main/list/index."</t>
  </si>
  <si>
    <t>INSTITUTIONAL HIGHLIGHTS</t>
  </si>
  <si>
    <t>Institution Name</t>
  </si>
  <si>
    <t>Report Date</t>
  </si>
  <si>
    <t>Report Period</t>
  </si>
  <si>
    <t>Star Composite Rating, Percentile Rank</t>
  </si>
  <si>
    <t>Predictive Indicator</t>
  </si>
  <si>
    <t>Earnings Rating, Percentile Rank</t>
  </si>
  <si>
    <t>Asset Quality Rating, Percentile Rank</t>
  </si>
  <si>
    <t>Capital Rating, Percentile Rank</t>
  </si>
  <si>
    <t>Liquidity Rating, Percentile Rank</t>
  </si>
  <si>
    <t>Institution Asset Size</t>
  </si>
  <si>
    <t>Loans</t>
  </si>
  <si>
    <t>Net Profit/Loss</t>
  </si>
  <si>
    <t>Component highlights earnings highlights</t>
  </si>
  <si>
    <t>Bank profitability is critical to building capital, establishing adequate loss reserves, and providing dividends to shareholders.</t>
  </si>
  <si>
    <t>Key Earnings information and ratios:</t>
  </si>
  <si>
    <t>Ratio (%)</t>
  </si>
  <si>
    <t>Assessment</t>
  </si>
  <si>
    <t>Level of Non-interest Income (1)</t>
  </si>
  <si>
    <t>Overhead (1)</t>
  </si>
  <si>
    <t>(1) = As a percentage of average assets</t>
  </si>
  <si>
    <t>Note: All ratios are based on the latest four quarters of income and expense</t>
  </si>
  <si>
    <t>Asset quality highlights</t>
  </si>
  <si>
    <t>Asset quality is a major determinant of the viability of any banking institution. Poor asset quality will have a very direct impact upon the other components and bank regulators invest substantial amounts of time and resources in gauging the quality of a bank's loans and investments.</t>
  </si>
  <si>
    <t>Key Asset Quality information and ratios:</t>
  </si>
  <si>
    <t>Nonperforming Asset Ratio (2)</t>
  </si>
  <si>
    <t>Loss Reserve Coverage (3)</t>
  </si>
  <si>
    <t>Loan Yield</t>
  </si>
  <si>
    <t>Conservative</t>
  </si>
  <si>
    <t>Asset Growth Rate</t>
  </si>
  <si>
    <t>(2) = Nonperforming Assets/Equity plus Loss Reserves (3) = Loan Loss Reserves/Nonperforming Loans</t>
  </si>
  <si>
    <t>Capital highlights</t>
  </si>
  <si>
    <t>Bank capitalization stands as a protection against loss for bank customers, creditors, shareholders, and the Federal Deposit Insurance Corporation (FDIC). Regulators place a high degree of importance upon assessments of capitalization and assign regulatory benchmarks as determinants of capital adequacy.</t>
  </si>
  <si>
    <t>Key measures of Capital Adequacy:</t>
  </si>
  <si>
    <t>Net Worth to Total Assets</t>
  </si>
  <si>
    <t>Regulatory Capital Ratio</t>
  </si>
  <si>
    <t>Liquidity highlights</t>
  </si>
  <si>
    <t>Liquidity provides funding for normal bank operations and represents a reserve for unanticipated disintermediation. Liquidity can be both an asset and a liability concept.</t>
  </si>
  <si>
    <t>Key measures of Liquidity:</t>
  </si>
  <si>
    <t>Balance Sheet Liquidity</t>
  </si>
  <si>
    <t>Purchased Liabilities</t>
  </si>
  <si>
    <t>Early warning highlights</t>
  </si>
  <si>
    <t>Early warning indicators identify areas of potential concern, which may lead to financial deterioration and thus, require inquiry or in-depth investigation. For this bank we have noted:</t>
  </si>
  <si>
    <t>Institution Commentary</t>
  </si>
  <si>
    <t>OVERVIEW of Institution</t>
  </si>
  <si>
    <t>COMPOSITE SUMMARY</t>
  </si>
  <si>
    <t>EARNINGS ANALYSIS</t>
  </si>
  <si>
    <t>ASSET QUALITY ANALYSIS</t>
  </si>
  <si>
    <t>Loan yield can measure financial reward versus credit risk. Excessive loan yield may be an indicator of existing or future problems. Our loan review indicates that the bank has assumed a seemingly prudent position between credit risk and financial reward.</t>
  </si>
  <si>
    <t>CAPITAL ANALYSIS</t>
  </si>
  <si>
    <t>LIQUIDITY ANALYSIS</t>
  </si>
  <si>
    <t>INSTITUTION SUMMARY</t>
  </si>
  <si>
    <t>As noted previously, early warning indicators, possibly requiring specific investigation include:</t>
  </si>
  <si>
    <t>PREDICTIVE INDICATOR</t>
  </si>
  <si>
    <t>http://www.bankrate.com/rates/safe-sound/memorandums-memos.aspx?fedid=17969</t>
  </si>
  <si>
    <t>Step 1</t>
  </si>
  <si>
    <t>Step 2</t>
  </si>
  <si>
    <t>Other asset categories, such as farm and consumer loans, which may carry more than usual default potential, should not have a substantial negative impact upon future results.</t>
  </si>
  <si>
    <t>not avail</t>
  </si>
  <si>
    <t>Below are examples of the Identity number.  These may be deleted if you wish.  They are only examples.</t>
  </si>
  <si>
    <t xml:space="preserve">       (Rating: 1 through 5 stars)</t>
  </si>
  <si>
    <t>The information needed for the analysis will be downloaded and displayed in the</t>
  </si>
  <si>
    <t xml:space="preserve"> analysis form.</t>
  </si>
  <si>
    <t>deleted if you wish.  They are only examples.</t>
  </si>
  <si>
    <t>See the 4 steps to take in using this form &gt;&gt;&gt;&gt;</t>
  </si>
  <si>
    <t>Click here to go to the Bankrate Site. Enter the bank's name in the "Search By Name" box.  Then click</t>
  </si>
  <si>
    <t>Locate the bank you wish to analyze and click "Memo" in the Memo column.</t>
  </si>
  <si>
    <t>Component star rating: 3 starstarstar</t>
  </si>
  <si>
    <t>JP Morgan Chase, OH</t>
  </si>
  <si>
    <t>Component star rating: 4 starstarstarstar</t>
  </si>
  <si>
    <t>Substantially Exceeded Requirement</t>
  </si>
  <si>
    <t>Bookmark this page</t>
  </si>
  <si>
    <t>Share</t>
  </si>
  <si>
    <t>FacebookFacebook TwitterTwitter</t>
  </si>
  <si>
    <t>Digg Delicious</t>
  </si>
  <si>
    <t>Bankrate on Facebook</t>
  </si>
  <si>
    <t>&lt;!--iframe--&gt;</t>
  </si>
  <si>
    <t>Below Normal</t>
  </si>
  <si>
    <t>As of September 30, 2010</t>
  </si>
  <si>
    <t>9 months</t>
  </si>
  <si>
    <t>Return on Assets *</t>
  </si>
  <si>
    <t>Operating Return on Assets *</t>
  </si>
  <si>
    <t>Return on Equity *</t>
  </si>
  <si>
    <t>Net Interest Margin *</t>
  </si>
  <si>
    <t>Fee Income / Assets *</t>
  </si>
  <si>
    <t>Overhead / Assets *</t>
  </si>
  <si>
    <t>* Calculations are based on the latest four quarters of income and expense.</t>
  </si>
  <si>
    <t>Rating is for the quarter ending 9-30-2010; amended filings not reflected</t>
  </si>
  <si>
    <t>ByDr. Don Taylor, Ph.D., CFA, CFP</t>
  </si>
  <si>
    <t>Managing mutual fund fees</t>
  </si>
  <si>
    <t>Whether you do it yourself or use an adviser, you can avoid paying many fund costs.</t>
  </si>
  <si>
    <t>By Sheyna Steiner</t>
  </si>
  <si>
    <t>Bankrate BlogsInvesting Â»</t>
  </si>
  <si>
    <t>View more Bankrate Blogs Â»</t>
  </si>
  <si>
    <t>Â© 2011 Bankrate, Inc. All Rights Reserved.</t>
  </si>
  <si>
    <t>As of September 30, 2010, the bank displayed Below Normal balance sheet liquidity and a Somewhat Greater Than Average Dependence upon wholesale, or non-core liabilities, which include all borrowings, such as Federal Home Loan Bank Advances, and CD's greater than $100,000. Accordingly, an inquiry into funds acquisition strategies should be undertaken.</t>
  </si>
  <si>
    <t>Which online brokerage?</t>
  </si>
  <si>
    <t>What was life like before the Internet -- particularly in regards to investing? Calling a broker, following stocks in a newspaper,...</t>
  </si>
  <si>
    <t>Predictive Indicator neutral</t>
  </si>
  <si>
    <t>neutral</t>
  </si>
  <si>
    <t>Substantially Below Average</t>
  </si>
  <si>
    <t>Solid</t>
  </si>
  <si>
    <t>Higher Than Standard</t>
  </si>
  <si>
    <t>JPMORGAN CHASE BANK, NATIONAL ASSOCIATION</t>
  </si>
  <si>
    <t>1111 POLARIS PRKWY</t>
  </si>
  <si>
    <t>COLUMBUS, Ohio 43240</t>
  </si>
  <si>
    <t>STAR RATING: 3 starstarstar</t>
  </si>
  <si>
    <t>Federal Reserve System Identifier&amp;nbsp852218</t>
  </si>
  <si>
    <t>Federal Reserve System Identifier 852218</t>
  </si>
  <si>
    <t>3 /30.77</t>
  </si>
  <si>
    <t>4 /45.19</t>
  </si>
  <si>
    <t>3 /45.54</t>
  </si>
  <si>
    <t>2 /12.16</t>
  </si>
  <si>
    <t>3 /17.10</t>
  </si>
  <si>
    <t>1642.6910 billion</t>
  </si>
  <si>
    <t>984.2100 billion</t>
  </si>
  <si>
    <t>536.5190 billion</t>
  </si>
  <si>
    <t>132.1700 billion</t>
  </si>
  <si>
    <t>9.2400 billion</t>
  </si>
  <si>
    <t>Below Standard</t>
  </si>
  <si>
    <t>Component star rating: 2 starstar</t>
  </si>
  <si>
    <t>Greater Than Average Dependence</t>
  </si>
  <si>
    <t>Organized in 1924, JPMORGAN CHASE BANK, NATIONAL ASSOCIATION is a nationally chartered commercial bank, which, as of September 30, 2010, reported $1642.6910 billion in total assets. At that date, loans and deposits held by the bank amounted to $536.5190 billion and $984.2100 billion, respectively. The bank's September 30, 2010 equity base of $132.1700 billion produced an Equity/Assets ratio of 8.05%, as of that date.</t>
  </si>
  <si>
    <t>Bankrate believes that, as of September 30, 2010, this bank exhibited a generally satisfactory condition, characterized by normal overall, sustainable profitability, satisfactory asset quality, below standard capitalization and near normal liquidity.</t>
  </si>
  <si>
    <t>For the twelve months ended September 30, 2010, the bank recorded net income of $11.1190 billion. The bank experienced a return on average assets (ROA) of 0.68% over the latest four quarters. Year earlier twelve month results amounted to a net profit of $10.0910 billion, or a 0.59% ROA over the most recent four quarters at that time. An ROA of at least 1.0% is deemed satisfactory in accordance with banking industry standards, and the industry's ROA for the first nine months of 2010 was approximately 0.54%. We have concluded that for the four quarters ending September 30, , the bank achieved a very healthy return on equity. We deem net interest margin to have been substantially below average, and the reported percentage should cause inquiry into balance sheet composition, asset yields, and liability costs. Noninterest income was solid. We also observed overhead ratios that were below standard, a sign of good expense control. Importantly, net interest margins, noninterest income components, and overhead expense levels represent operating factors that combine to impact overall operating results. We have also noted that the bank's profitability improvement between the first nine months of 2009 and the first nine months of 2010well exceeded the banking industry peer comparison.</t>
  </si>
  <si>
    <t>The bank revealed, as previously stated, satisfactory asset quality. Our conclusion with respect to asset quality incorporates our analysis of data depicting regional economic conditions as well as our computations of a higher than standard September 30, 2010 nonperforming asset ratio, below normal reserve coverage for nonperforming loans, and apparently acceptable quality, or no greater than average, holdings of commercial real estate and construction loans, two categories that can intensify credit risk.</t>
  </si>
  <si>
    <t>For the one year period ended September 30, 2010, the bank reported a below normal rate of rate of growth in equity capital. Balance sheet structural changes, through the one year period of time ended September 30, 2010, have somewhat improved the bank's capital position. Our analytical methodology does take into account the quantity, quality, and durability of net worth, and, as set forth above, we have determined, based upon our series of tests, that the bank demonstrates below standard capitalization. We have calculated the bank's September 30, 2010 Total Risk-Based Capital position, a computation used by industry regulators, and have concluded that this bank substantially exceeded the requirement, set by regulation, for this test. Notwithstanding any of the information contained within this section, we believe, based upon our analysis, that the institution should consider plans for enhancing reported capitalization.</t>
  </si>
  <si>
    <t>This bank has been rated generally satisfactory.</t>
  </si>
  <si>
    <t>Negative factors that impacted that rating follow:</t>
  </si>
  <si>
    <t>As stated, we have determined a composite Star rating for this bank of 3 starstarstar, indicative of a generally satisfactory financial condition. At times, financial conditions of banks change rapidly and significantly. Hence, our Safe &amp; Sound Star ratings should not be deemed predictive of likely future ratings. However, in view of early warning indicators set forth within this report, in combination with the institution's financial data, we believe that the Star rating for this institution is unlikely to change within the ensuing twelve month period.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</si>
</sst>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_);[Red]\(0.00\)"/>
    <numFmt numFmtId="167" formatCode="0.0"/>
    <numFmt numFmtId="168" formatCode="#,##0.0_);\(#,##0.0\)"/>
    <numFmt numFmtId="169" formatCode="_(* #,##0.0_);_(* \(#,##0.0\);_(* &quot;-&quot;??_);_(@_)"/>
    <numFmt numFmtId="170" formatCode="0.000%"/>
    <numFmt numFmtId="171" formatCode="0.0000%"/>
    <numFmt numFmtId="172" formatCode="0.00000%"/>
    <numFmt numFmtId="173" formatCode="0.000000%"/>
    <numFmt numFmtId="174" formatCode="0.0000000%"/>
    <numFmt numFmtId="175" formatCode="0.00000000%"/>
    <numFmt numFmtId="176" formatCode="0.000000000%"/>
    <numFmt numFmtId="177" formatCode="0.0000000000%"/>
    <numFmt numFmtId="178" formatCode="0.00000000000%"/>
    <numFmt numFmtId="179" formatCode="0.000000000000%"/>
    <numFmt numFmtId="180" formatCode="0.0000000000000%"/>
    <numFmt numFmtId="181" formatCode="0.00000000000000%"/>
    <numFmt numFmtId="182" formatCode="0.000000000000000%"/>
    <numFmt numFmtId="183" formatCode="&quot;$&quot;#,##0"/>
    <numFmt numFmtId="184" formatCode="0.00000000"/>
    <numFmt numFmtId="185" formatCode="0.0000000"/>
    <numFmt numFmtId="186" formatCode="0.000000"/>
    <numFmt numFmtId="187" formatCode="0.00000"/>
    <numFmt numFmtId="188" formatCode="0.0000"/>
    <numFmt numFmtId="189" formatCode="0.000"/>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
    <numFmt numFmtId="196" formatCode="#,##0.0000"/>
    <numFmt numFmtId="197" formatCode="#,##0.00000"/>
    <numFmt numFmtId="198" formatCode="#,##0.000000"/>
  </numFmts>
  <fonts count="54">
    <font>
      <sz val="10"/>
      <name val="Arial"/>
      <family val="0"/>
    </font>
    <font>
      <sz val="8"/>
      <name val="Arial"/>
      <family val="0"/>
    </font>
    <font>
      <sz val="7"/>
      <name val="Arial"/>
      <family val="2"/>
    </font>
    <font>
      <b/>
      <sz val="12"/>
      <name val="Arial"/>
      <family val="2"/>
    </font>
    <font>
      <sz val="8"/>
      <color indexed="10"/>
      <name val="Arial"/>
      <family val="2"/>
    </font>
    <font>
      <b/>
      <sz val="10"/>
      <name val="Arial"/>
      <family val="2"/>
    </font>
    <font>
      <sz val="8"/>
      <color indexed="60"/>
      <name val="Arial"/>
      <family val="2"/>
    </font>
    <font>
      <sz val="10"/>
      <color indexed="12"/>
      <name val="Arial"/>
      <family val="0"/>
    </font>
    <font>
      <b/>
      <sz val="10"/>
      <color indexed="12"/>
      <name val="Arial"/>
      <family val="2"/>
    </font>
    <font>
      <sz val="8"/>
      <color indexed="12"/>
      <name val="Arial"/>
      <family val="2"/>
    </font>
    <font>
      <sz val="9"/>
      <name val="Arial"/>
      <family val="0"/>
    </font>
    <font>
      <b/>
      <sz val="8"/>
      <color indexed="60"/>
      <name val="Arial"/>
      <family val="2"/>
    </font>
    <font>
      <sz val="8"/>
      <name val="Verdana"/>
      <family val="2"/>
    </font>
    <font>
      <b/>
      <sz val="8"/>
      <name val="Arial"/>
      <family val="2"/>
    </font>
    <font>
      <u val="single"/>
      <sz val="9"/>
      <color indexed="12"/>
      <name val="Arial"/>
      <family val="0"/>
    </font>
    <font>
      <u val="single"/>
      <sz val="9"/>
      <color indexed="36"/>
      <name val="Arial"/>
      <family val="0"/>
    </font>
    <font>
      <sz val="8"/>
      <name val="Tahoma"/>
      <family val="0"/>
    </font>
    <font>
      <b/>
      <sz val="8"/>
      <name val="Tahoma"/>
      <family val="0"/>
    </font>
    <font>
      <sz val="9"/>
      <name val="Tahoma"/>
      <family val="2"/>
    </font>
    <font>
      <b/>
      <sz val="10"/>
      <color indexed="17"/>
      <name val="Arial"/>
      <family val="2"/>
    </font>
    <font>
      <b/>
      <sz val="10"/>
      <color indexed="60"/>
      <name val="Arial"/>
      <family val="2"/>
    </font>
    <font>
      <sz val="9"/>
      <color indexed="10"/>
      <name val="Arial"/>
      <family val="2"/>
    </font>
    <font>
      <sz val="10"/>
      <color indexed="8"/>
      <name val="Arial"/>
      <family val="2"/>
    </font>
    <font>
      <b/>
      <sz val="12"/>
      <name val="Arial Narrow"/>
      <family val="2"/>
    </font>
    <font>
      <b/>
      <sz val="9"/>
      <color indexed="22"/>
      <name val="Arial"/>
      <family val="2"/>
    </font>
    <font>
      <sz val="10"/>
      <color indexed="57"/>
      <name val="Arial"/>
      <family val="0"/>
    </font>
    <font>
      <sz val="10"/>
      <name val="Tahoma"/>
      <family val="2"/>
    </font>
    <font>
      <u val="single"/>
      <sz val="10"/>
      <name val="Tahoma"/>
      <family val="2"/>
    </font>
    <font>
      <sz val="10"/>
      <name val="Arial Narrow"/>
      <family val="2"/>
    </font>
    <font>
      <sz val="9"/>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sz val="9"/>
      <color indexed="12"/>
      <name val="Arial Narrow"/>
      <family val="2"/>
    </font>
    <font>
      <i/>
      <sz val="10"/>
      <name val="Arial"/>
      <family val="2"/>
    </font>
    <font>
      <sz val="9"/>
      <color indexed="16"/>
      <name val="Arial"/>
      <family val="2"/>
    </font>
    <font>
      <b/>
      <i/>
      <sz val="10"/>
      <name val="Arial"/>
      <family val="2"/>
    </font>
    <font>
      <b/>
      <sz val="10"/>
      <color indexed="12"/>
      <name val="Arial Narrow"/>
      <family val="2"/>
    </font>
    <font>
      <sz val="10"/>
      <color indexed="1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7">
    <xf numFmtId="0" fontId="0" fillId="0" borderId="0" xfId="0" applyAlignment="1">
      <alignment/>
    </xf>
    <xf numFmtId="0" fontId="2" fillId="0" borderId="0" xfId="0" applyFont="1" applyAlignment="1">
      <alignment/>
    </xf>
    <xf numFmtId="0" fontId="1"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xf>
    <xf numFmtId="2" fontId="0" fillId="0" borderId="0" xfId="0" applyNumberFormat="1" applyAlignment="1">
      <alignment horizontal="center"/>
    </xf>
    <xf numFmtId="164" fontId="5" fillId="0" borderId="0" xfId="59" applyNumberFormat="1" applyFont="1" applyFill="1" applyAlignment="1">
      <alignment/>
    </xf>
    <xf numFmtId="0" fontId="1" fillId="0" borderId="11" xfId="0" applyFont="1" applyBorder="1" applyAlignment="1">
      <alignment/>
    </xf>
    <xf numFmtId="0" fontId="1" fillId="0" borderId="0" xfId="0" applyFont="1" applyAlignment="1">
      <alignment horizontal="left"/>
    </xf>
    <xf numFmtId="0" fontId="0" fillId="0" borderId="12" xfId="0" applyBorder="1" applyAlignment="1">
      <alignment/>
    </xf>
    <xf numFmtId="0" fontId="5" fillId="0" borderId="12" xfId="0" applyFont="1" applyBorder="1" applyAlignment="1">
      <alignment/>
    </xf>
    <xf numFmtId="49" fontId="0" fillId="0" borderId="0" xfId="0" applyNumberFormat="1" applyAlignment="1">
      <alignment horizontal="right"/>
    </xf>
    <xf numFmtId="0" fontId="1" fillId="0" borderId="13" xfId="0" applyFont="1" applyFill="1" applyBorder="1" applyAlignment="1">
      <alignment/>
    </xf>
    <xf numFmtId="0" fontId="0" fillId="0" borderId="0" xfId="0" applyAlignment="1">
      <alignment horizontal="center"/>
    </xf>
    <xf numFmtId="10" fontId="5" fillId="0" borderId="0" xfId="59" applyNumberFormat="1" applyFont="1" applyAlignment="1">
      <alignment horizontal="right"/>
    </xf>
    <xf numFmtId="0" fontId="1" fillId="0" borderId="14" xfId="0" applyFont="1" applyBorder="1" applyAlignment="1">
      <alignment/>
    </xf>
    <xf numFmtId="0" fontId="1" fillId="0" borderId="0" xfId="0" applyFont="1" applyAlignment="1">
      <alignment/>
    </xf>
    <xf numFmtId="0" fontId="7" fillId="0" borderId="0" xfId="0" applyFont="1" applyAlignment="1">
      <alignment/>
    </xf>
    <xf numFmtId="164" fontId="8" fillId="0" borderId="0" xfId="59" applyNumberFormat="1" applyFont="1" applyAlignment="1">
      <alignment/>
    </xf>
    <xf numFmtId="0" fontId="1" fillId="0" borderId="15" xfId="0" applyFont="1" applyBorder="1" applyAlignment="1">
      <alignment/>
    </xf>
    <xf numFmtId="0" fontId="7" fillId="0" borderId="12" xfId="0" applyFont="1" applyBorder="1" applyAlignment="1">
      <alignment/>
    </xf>
    <xf numFmtId="164" fontId="8" fillId="0" borderId="12" xfId="59" applyNumberFormat="1" applyFont="1" applyBorder="1" applyAlignment="1">
      <alignment/>
    </xf>
    <xf numFmtId="0" fontId="0" fillId="0" borderId="0" xfId="0" applyFont="1" applyAlignment="1">
      <alignment horizontal="center"/>
    </xf>
    <xf numFmtId="164" fontId="5" fillId="0" borderId="0" xfId="59" applyNumberFormat="1" applyFont="1" applyAlignment="1">
      <alignment/>
    </xf>
    <xf numFmtId="0" fontId="0" fillId="0" borderId="16" xfId="0" applyBorder="1" applyAlignment="1">
      <alignment/>
    </xf>
    <xf numFmtId="0" fontId="1" fillId="0" borderId="16" xfId="0" applyFont="1" applyBorder="1" applyAlignment="1">
      <alignment/>
    </xf>
    <xf numFmtId="0" fontId="5" fillId="0" borderId="16" xfId="0" applyFont="1" applyBorder="1" applyAlignment="1">
      <alignment/>
    </xf>
    <xf numFmtId="0" fontId="9" fillId="0" borderId="0" xfId="0" applyFont="1" applyAlignment="1">
      <alignment/>
    </xf>
    <xf numFmtId="164" fontId="5" fillId="0" borderId="0" xfId="59" applyNumberFormat="1" applyFont="1" applyBorder="1" applyAlignment="1">
      <alignment/>
    </xf>
    <xf numFmtId="0" fontId="1" fillId="0" borderId="16" xfId="0" applyFont="1" applyBorder="1" applyAlignment="1">
      <alignment/>
    </xf>
    <xf numFmtId="0" fontId="1" fillId="0" borderId="15" xfId="0" applyFont="1" applyFill="1" applyBorder="1" applyAlignment="1">
      <alignment/>
    </xf>
    <xf numFmtId="0" fontId="1" fillId="0" borderId="13" xfId="0" applyFont="1" applyBorder="1" applyAlignment="1">
      <alignment/>
    </xf>
    <xf numFmtId="0" fontId="0" fillId="0" borderId="0" xfId="0" applyBorder="1" applyAlignment="1">
      <alignment/>
    </xf>
    <xf numFmtId="0" fontId="1" fillId="0" borderId="0" xfId="0" applyFont="1" applyBorder="1" applyAlignment="1">
      <alignment/>
    </xf>
    <xf numFmtId="0" fontId="5" fillId="0" borderId="0" xfId="0" applyFont="1" applyBorder="1" applyAlignment="1">
      <alignment/>
    </xf>
    <xf numFmtId="0" fontId="9" fillId="0" borderId="0" xfId="0" applyFont="1" applyBorder="1" applyAlignment="1">
      <alignment/>
    </xf>
    <xf numFmtId="10" fontId="5" fillId="0" borderId="0" xfId="59" applyNumberFormat="1" applyFont="1" applyBorder="1" applyAlignment="1">
      <alignment/>
    </xf>
    <xf numFmtId="0" fontId="1" fillId="0" borderId="11" xfId="0" applyFont="1" applyFill="1" applyBorder="1" applyAlignment="1">
      <alignment/>
    </xf>
    <xf numFmtId="0" fontId="7" fillId="0" borderId="16" xfId="0" applyFont="1" applyBorder="1" applyAlignment="1">
      <alignment/>
    </xf>
    <xf numFmtId="10" fontId="5" fillId="0" borderId="16" xfId="59" applyNumberFormat="1" applyFont="1" applyBorder="1" applyAlignment="1">
      <alignment/>
    </xf>
    <xf numFmtId="10" fontId="5" fillId="0" borderId="0" xfId="59" applyNumberFormat="1" applyFont="1" applyAlignment="1">
      <alignment/>
    </xf>
    <xf numFmtId="10" fontId="0" fillId="0" borderId="0" xfId="0" applyNumberFormat="1" applyAlignment="1">
      <alignment/>
    </xf>
    <xf numFmtId="0" fontId="12" fillId="0" borderId="16" xfId="0" applyFont="1" applyBorder="1" applyAlignment="1">
      <alignment/>
    </xf>
    <xf numFmtId="9" fontId="0" fillId="0" borderId="0" xfId="0" applyNumberFormat="1" applyAlignment="1">
      <alignment horizontal="center"/>
    </xf>
    <xf numFmtId="0" fontId="4" fillId="0" borderId="0" xfId="0" applyFont="1" applyAlignment="1">
      <alignment/>
    </xf>
    <xf numFmtId="0" fontId="0" fillId="0" borderId="0" xfId="0" applyBorder="1" applyAlignment="1">
      <alignment horizontal="center"/>
    </xf>
    <xf numFmtId="0" fontId="3" fillId="0" borderId="10" xfId="0" applyFont="1" applyFill="1" applyBorder="1" applyAlignment="1" applyProtection="1">
      <alignment horizontal="center"/>
      <protection/>
    </xf>
    <xf numFmtId="3" fontId="10" fillId="4" borderId="17" xfId="42" applyNumberFormat="1" applyFont="1" applyFill="1" applyBorder="1" applyAlignment="1" applyProtection="1">
      <alignment/>
      <protection locked="0"/>
    </xf>
    <xf numFmtId="3" fontId="10" fillId="0" borderId="18" xfId="42" applyNumberFormat="1" applyFont="1" applyBorder="1" applyAlignment="1">
      <alignment/>
    </xf>
    <xf numFmtId="3" fontId="10" fillId="4" borderId="19" xfId="42" applyNumberFormat="1" applyFont="1" applyFill="1" applyBorder="1" applyAlignment="1" applyProtection="1">
      <alignment/>
      <protection locked="0"/>
    </xf>
    <xf numFmtId="0" fontId="1" fillId="0" borderId="0" xfId="0" applyFont="1" applyBorder="1" applyAlignment="1">
      <alignment horizontal="right"/>
    </xf>
    <xf numFmtId="0" fontId="7" fillId="0" borderId="0" xfId="0" applyFont="1" applyBorder="1" applyAlignment="1">
      <alignment/>
    </xf>
    <xf numFmtId="0" fontId="1" fillId="0" borderId="0" xfId="0" applyFont="1" applyBorder="1" applyAlignment="1">
      <alignment horizontal="right"/>
    </xf>
    <xf numFmtId="0" fontId="0" fillId="0" borderId="16" xfId="0" applyBorder="1" applyAlignment="1">
      <alignment horizontal="center"/>
    </xf>
    <xf numFmtId="10" fontId="5" fillId="0" borderId="16" xfId="0" applyNumberFormat="1" applyFont="1" applyFill="1" applyBorder="1" applyAlignment="1">
      <alignment/>
    </xf>
    <xf numFmtId="0" fontId="0" fillId="0" borderId="0" xfId="0" applyNumberFormat="1" applyAlignment="1">
      <alignment horizontal="center" wrapText="1"/>
    </xf>
    <xf numFmtId="2" fontId="0" fillId="0" borderId="0" xfId="0" applyNumberFormat="1" applyAlignment="1">
      <alignment/>
    </xf>
    <xf numFmtId="49" fontId="1" fillId="0" borderId="0" xfId="59" applyNumberFormat="1" applyFont="1" applyAlignment="1">
      <alignment horizontal="right"/>
    </xf>
    <xf numFmtId="49" fontId="1" fillId="0" borderId="0" xfId="0" applyNumberFormat="1" applyFont="1" applyAlignment="1">
      <alignment horizontal="right"/>
    </xf>
    <xf numFmtId="49" fontId="1" fillId="0" borderId="0" xfId="0" applyNumberFormat="1" applyFont="1" applyBorder="1" applyAlignment="1">
      <alignment horizontal="right"/>
    </xf>
    <xf numFmtId="0" fontId="1" fillId="0" borderId="0" xfId="0" applyFont="1" applyAlignment="1">
      <alignment horizontal="left"/>
    </xf>
    <xf numFmtId="0" fontId="0" fillId="0" borderId="0" xfId="0" applyNumberFormat="1" applyAlignment="1">
      <alignment wrapText="1"/>
    </xf>
    <xf numFmtId="0" fontId="10" fillId="0" borderId="0" xfId="0" applyFont="1" applyAlignment="1">
      <alignment/>
    </xf>
    <xf numFmtId="10" fontId="10" fillId="0" borderId="0" xfId="42" applyNumberFormat="1" applyFont="1" applyAlignment="1">
      <alignment/>
    </xf>
    <xf numFmtId="3" fontId="10" fillId="0" borderId="0" xfId="42" applyNumberFormat="1" applyFont="1" applyFill="1" applyBorder="1" applyAlignment="1">
      <alignment/>
    </xf>
    <xf numFmtId="0" fontId="10" fillId="0" borderId="0" xfId="0" applyFont="1" applyBorder="1" applyAlignment="1">
      <alignment/>
    </xf>
    <xf numFmtId="0" fontId="0" fillId="0" borderId="0" xfId="0" applyAlignment="1">
      <alignment horizontal="left"/>
    </xf>
    <xf numFmtId="2" fontId="0" fillId="0" borderId="0" xfId="0" applyNumberFormat="1" applyBorder="1" applyAlignment="1">
      <alignment/>
    </xf>
    <xf numFmtId="10" fontId="10" fillId="0" borderId="0" xfId="0" applyNumberFormat="1" applyFont="1" applyBorder="1" applyAlignment="1">
      <alignment/>
    </xf>
    <xf numFmtId="0" fontId="10" fillId="0" borderId="0" xfId="0" applyFont="1" applyBorder="1" applyAlignment="1">
      <alignment horizontal="right"/>
    </xf>
    <xf numFmtId="39" fontId="10" fillId="4" borderId="18" xfId="42" applyNumberFormat="1" applyFont="1" applyFill="1" applyBorder="1" applyAlignment="1" applyProtection="1">
      <alignment/>
      <protection locked="0"/>
    </xf>
    <xf numFmtId="0" fontId="0" fillId="0" borderId="0" xfId="0" applyFont="1" applyAlignment="1">
      <alignment/>
    </xf>
    <xf numFmtId="167" fontId="10" fillId="6" borderId="20" xfId="0" applyNumberFormat="1" applyFont="1" applyFill="1" applyBorder="1" applyAlignment="1" applyProtection="1">
      <alignment horizontal="right" wrapText="1"/>
      <protection locked="0"/>
    </xf>
    <xf numFmtId="167" fontId="10" fillId="6" borderId="18" xfId="0" applyNumberFormat="1" applyFont="1" applyFill="1" applyBorder="1" applyAlignment="1" applyProtection="1">
      <alignment horizontal="right" wrapText="1"/>
      <protection locked="0"/>
    </xf>
    <xf numFmtId="0" fontId="4" fillId="0" borderId="11" xfId="0" applyFont="1" applyFill="1" applyBorder="1" applyAlignment="1" applyProtection="1">
      <alignment/>
      <protection/>
    </xf>
    <xf numFmtId="0" fontId="0" fillId="0" borderId="18" xfId="0" applyBorder="1" applyAlignment="1" applyProtection="1">
      <alignment/>
      <protection locked="0"/>
    </xf>
    <xf numFmtId="0" fontId="19" fillId="0" borderId="0" xfId="0" applyFont="1" applyBorder="1" applyAlignment="1">
      <alignment horizontal="left" wrapText="1"/>
    </xf>
    <xf numFmtId="6" fontId="0" fillId="0" borderId="0" xfId="0" applyNumberFormat="1" applyAlignment="1">
      <alignment/>
    </xf>
    <xf numFmtId="3" fontId="0" fillId="0" borderId="0" xfId="0" applyNumberFormat="1" applyAlignment="1">
      <alignment/>
    </xf>
    <xf numFmtId="0" fontId="14" fillId="0" borderId="0" xfId="53" applyAlignment="1" applyProtection="1">
      <alignment/>
      <protection/>
    </xf>
    <xf numFmtId="15" fontId="0" fillId="0" borderId="0" xfId="0" applyNumberFormat="1" applyAlignment="1">
      <alignment/>
    </xf>
    <xf numFmtId="0" fontId="0" fillId="22" borderId="0" xfId="0" applyFill="1" applyAlignment="1">
      <alignment/>
    </xf>
    <xf numFmtId="0" fontId="0" fillId="22" borderId="0" xfId="0" applyFill="1" applyAlignment="1">
      <alignment horizontal="center"/>
    </xf>
    <xf numFmtId="0" fontId="0" fillId="0" borderId="0" xfId="0" applyAlignment="1">
      <alignment/>
    </xf>
    <xf numFmtId="0" fontId="1" fillId="7" borderId="16" xfId="0" applyFont="1" applyFill="1" applyBorder="1" applyAlignment="1">
      <alignment horizontal="left" wrapText="1"/>
    </xf>
    <xf numFmtId="0" fontId="1" fillId="7" borderId="21" xfId="0" applyFont="1" applyFill="1" applyBorder="1" applyAlignment="1">
      <alignment horizontal="left" wrapText="1"/>
    </xf>
    <xf numFmtId="183" fontId="1" fillId="0" borderId="0" xfId="42"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Border="1" applyAlignment="1">
      <alignment/>
    </xf>
    <xf numFmtId="0" fontId="0" fillId="0" borderId="0" xfId="0" applyFont="1" applyBorder="1" applyAlignment="1">
      <alignment/>
    </xf>
    <xf numFmtId="0" fontId="4" fillId="0" borderId="0" xfId="0" applyFont="1" applyFill="1" applyBorder="1" applyAlignment="1">
      <alignment horizontal="left" wrapText="1"/>
    </xf>
    <xf numFmtId="0" fontId="1" fillId="7" borderId="0" xfId="0" applyFont="1" applyFill="1" applyBorder="1" applyAlignment="1">
      <alignment horizontal="left"/>
    </xf>
    <xf numFmtId="3" fontId="0" fillId="24" borderId="0" xfId="0" applyNumberFormat="1" applyFill="1" applyAlignment="1">
      <alignment/>
    </xf>
    <xf numFmtId="167" fontId="0" fillId="0" borderId="0" xfId="0" applyNumberFormat="1" applyAlignment="1">
      <alignment/>
    </xf>
    <xf numFmtId="0" fontId="0" fillId="24" borderId="0" xfId="0" applyFill="1" applyAlignment="1">
      <alignment/>
    </xf>
    <xf numFmtId="10" fontId="10" fillId="0" borderId="0" xfId="0" applyNumberFormat="1" applyFont="1" applyBorder="1" applyAlignment="1">
      <alignment/>
    </xf>
    <xf numFmtId="0" fontId="0" fillId="0" borderId="0" xfId="0" applyFill="1" applyBorder="1" applyAlignment="1">
      <alignment/>
    </xf>
    <xf numFmtId="1" fontId="5" fillId="0" borderId="0" xfId="0" applyNumberFormat="1" applyFont="1" applyBorder="1" applyAlignment="1">
      <alignment/>
    </xf>
    <xf numFmtId="0" fontId="10" fillId="0" borderId="0" xfId="0" applyFont="1" applyAlignment="1">
      <alignment horizontal="left"/>
    </xf>
    <xf numFmtId="0" fontId="10" fillId="0" borderId="0" xfId="0" applyFont="1" applyFill="1" applyBorder="1" applyAlignment="1">
      <alignment horizontal="center"/>
    </xf>
    <xf numFmtId="0" fontId="0" fillId="0" borderId="0" xfId="0" applyFill="1" applyAlignment="1">
      <alignment/>
    </xf>
    <xf numFmtId="0" fontId="0" fillId="0" borderId="0" xfId="0" applyNumberFormat="1" applyFill="1" applyBorder="1" applyAlignment="1">
      <alignment/>
    </xf>
    <xf numFmtId="0" fontId="0" fillId="0" borderId="19" xfId="0" applyBorder="1" applyAlignment="1">
      <alignment horizontal="right"/>
    </xf>
    <xf numFmtId="0" fontId="10" fillId="0" borderId="0" xfId="0" applyFont="1" applyAlignment="1">
      <alignment/>
    </xf>
    <xf numFmtId="0" fontId="10" fillId="0" borderId="17" xfId="0" applyFont="1" applyBorder="1" applyAlignment="1">
      <alignment/>
    </xf>
    <xf numFmtId="0" fontId="10" fillId="0" borderId="19" xfId="0" applyFont="1" applyBorder="1" applyAlignment="1">
      <alignment/>
    </xf>
    <xf numFmtId="0" fontId="0" fillId="0" borderId="13" xfId="0" applyBorder="1" applyAlignment="1">
      <alignment/>
    </xf>
    <xf numFmtId="0" fontId="10" fillId="0" borderId="20" xfId="0" applyFont="1" applyBorder="1" applyAlignment="1">
      <alignment/>
    </xf>
    <xf numFmtId="0" fontId="0" fillId="0" borderId="15" xfId="0" applyBorder="1" applyAlignment="1">
      <alignment/>
    </xf>
    <xf numFmtId="0" fontId="25" fillId="0" borderId="0" xfId="0" applyFont="1" applyBorder="1" applyAlignment="1">
      <alignment horizontal="center"/>
    </xf>
    <xf numFmtId="0" fontId="4" fillId="0" borderId="16" xfId="0" applyFont="1" applyFill="1" applyBorder="1" applyAlignment="1">
      <alignment horizontal="left" wrapText="1"/>
    </xf>
    <xf numFmtId="3" fontId="10" fillId="24" borderId="18" xfId="42" applyNumberFormat="1" applyFont="1" applyFill="1" applyBorder="1" applyAlignment="1" applyProtection="1">
      <alignment/>
      <protection locked="0"/>
    </xf>
    <xf numFmtId="4" fontId="0" fillId="0" borderId="0" xfId="0" applyNumberFormat="1" applyAlignment="1">
      <alignment/>
    </xf>
    <xf numFmtId="0" fontId="22" fillId="0" borderId="13" xfId="0" applyFont="1" applyBorder="1" applyAlignment="1">
      <alignment/>
    </xf>
    <xf numFmtId="0" fontId="0" fillId="0" borderId="0" xfId="0" applyFont="1" applyBorder="1" applyAlignment="1">
      <alignment horizontal="left"/>
    </xf>
    <xf numFmtId="10" fontId="0" fillId="0" borderId="0" xfId="0" applyNumberFormat="1" applyFont="1" applyFill="1" applyBorder="1" applyAlignment="1">
      <alignment horizontal="left"/>
    </xf>
    <xf numFmtId="0" fontId="5" fillId="0" borderId="0" xfId="59" applyNumberFormat="1" applyFont="1" applyAlignment="1">
      <alignment horizontal="left"/>
    </xf>
    <xf numFmtId="0" fontId="1" fillId="0" borderId="16" xfId="0" applyFont="1" applyFill="1" applyBorder="1" applyAlignment="1" applyProtection="1">
      <alignment horizontal="left" wrapText="1"/>
      <protection locked="0"/>
    </xf>
    <xf numFmtId="0" fontId="11" fillId="0" borderId="16" xfId="0" applyFont="1" applyBorder="1" applyAlignment="1">
      <alignment/>
    </xf>
    <xf numFmtId="10" fontId="13" fillId="0" borderId="0" xfId="59" applyNumberFormat="1" applyFont="1" applyBorder="1" applyAlignment="1">
      <alignment horizontal="left"/>
    </xf>
    <xf numFmtId="0" fontId="11" fillId="0" borderId="0" xfId="0" applyFont="1" applyBorder="1" applyAlignment="1">
      <alignment horizontal="left"/>
    </xf>
    <xf numFmtId="10" fontId="5" fillId="0" borderId="12" xfId="59" applyNumberFormat="1" applyFont="1" applyBorder="1" applyAlignment="1">
      <alignment/>
    </xf>
    <xf numFmtId="0" fontId="0" fillId="0" borderId="0" xfId="0" applyAlignment="1">
      <alignment horizontal="left" vertical="top" wrapText="1"/>
    </xf>
    <xf numFmtId="0" fontId="0" fillId="0" borderId="0" xfId="0" applyAlignment="1">
      <alignment wrapText="1"/>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5" fillId="0" borderId="21" xfId="0" applyFont="1" applyBorder="1" applyAlignment="1">
      <alignment/>
    </xf>
    <xf numFmtId="0" fontId="0" fillId="0" borderId="18" xfId="0" applyBorder="1" applyAlignment="1">
      <alignment/>
    </xf>
    <xf numFmtId="0" fontId="2" fillId="0" borderId="0" xfId="0" applyFont="1" applyAlignment="1" applyProtection="1">
      <alignment horizontal="center"/>
      <protection locked="0"/>
    </xf>
    <xf numFmtId="0" fontId="21" fillId="0" borderId="0" xfId="0" applyFont="1" applyBorder="1" applyAlignment="1">
      <alignment horizontal="center"/>
    </xf>
    <xf numFmtId="164" fontId="5" fillId="0" borderId="0" xfId="0" applyNumberFormat="1" applyFont="1" applyAlignment="1" applyProtection="1">
      <alignment/>
      <protection locked="0"/>
    </xf>
    <xf numFmtId="3" fontId="10" fillId="4" borderId="21" xfId="42" applyNumberFormat="1" applyFont="1" applyFill="1" applyBorder="1" applyAlignment="1" applyProtection="1">
      <alignment/>
      <protection locked="0"/>
    </xf>
    <xf numFmtId="0" fontId="0" fillId="0" borderId="0" xfId="0" applyFont="1" applyBorder="1" applyAlignment="1">
      <alignment/>
    </xf>
    <xf numFmtId="0" fontId="10" fillId="0" borderId="12" xfId="0" applyFont="1" applyBorder="1" applyAlignment="1">
      <alignment/>
    </xf>
    <xf numFmtId="0" fontId="4" fillId="4" borderId="11" xfId="0" applyFont="1" applyFill="1" applyBorder="1" applyAlignment="1" applyProtection="1">
      <alignment horizontal="center"/>
      <protection locked="0"/>
    </xf>
    <xf numFmtId="0" fontId="0" fillId="0" borderId="21" xfId="0" applyBorder="1" applyAlignment="1" applyProtection="1">
      <alignment horizontal="center"/>
      <protection locked="0"/>
    </xf>
    <xf numFmtId="3" fontId="10" fillId="24" borderId="21" xfId="42" applyNumberFormat="1" applyFont="1" applyFill="1" applyBorder="1" applyAlignment="1" applyProtection="1">
      <alignment/>
      <protection locked="0"/>
    </xf>
    <xf numFmtId="3" fontId="10" fillId="4" borderId="12" xfId="42" applyNumberFormat="1" applyFont="1" applyFill="1" applyBorder="1" applyAlignment="1" applyProtection="1">
      <alignment/>
      <protection locked="0"/>
    </xf>
    <xf numFmtId="3" fontId="10" fillId="24" borderId="12" xfId="42" applyNumberFormat="1" applyFont="1" applyFill="1" applyBorder="1" applyAlignment="1" applyProtection="1">
      <alignment/>
      <protection locked="0"/>
    </xf>
    <xf numFmtId="3" fontId="10" fillId="4" borderId="16" xfId="42" applyNumberFormat="1" applyFont="1" applyFill="1" applyBorder="1" applyAlignment="1" applyProtection="1">
      <alignment/>
      <protection locked="0"/>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 fillId="0" borderId="25" xfId="53" applyNumberFormat="1" applyFont="1" applyBorder="1" applyAlignment="1" applyProtection="1">
      <alignment horizontal="right" vertical="justify" wrapText="1"/>
      <protection/>
    </xf>
    <xf numFmtId="0" fontId="24" fillId="0" borderId="26" xfId="53" applyNumberFormat="1" applyFont="1" applyFill="1" applyBorder="1" applyAlignment="1" applyProtection="1">
      <alignment horizontal="left" vertical="center" wrapText="1"/>
      <protection/>
    </xf>
    <xf numFmtId="0" fontId="28" fillId="0" borderId="0" xfId="0" applyFont="1" applyBorder="1" applyAlignment="1">
      <alignment horizontal="left" vertical="top" wrapText="1"/>
    </xf>
    <xf numFmtId="0" fontId="22" fillId="0" borderId="25" xfId="0" applyFont="1" applyBorder="1" applyAlignment="1">
      <alignment/>
    </xf>
    <xf numFmtId="0" fontId="0" fillId="0" borderId="26" xfId="0" applyFont="1" applyBorder="1" applyAlignment="1">
      <alignment/>
    </xf>
    <xf numFmtId="0" fontId="0" fillId="0" borderId="25" xfId="0" applyFont="1" applyBorder="1" applyAlignment="1">
      <alignment/>
    </xf>
    <xf numFmtId="0" fontId="28" fillId="0" borderId="0" xfId="0" applyFont="1" applyBorder="1" applyAlignment="1">
      <alignment horizontal="left" vertical="top"/>
    </xf>
    <xf numFmtId="4" fontId="0" fillId="0" borderId="25" xfId="0" applyNumberFormat="1"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5" fillId="0" borderId="0" xfId="0" applyFont="1" applyBorder="1" applyAlignment="1">
      <alignment/>
    </xf>
    <xf numFmtId="0" fontId="1" fillId="0" borderId="30" xfId="0" applyFont="1" applyFill="1" applyBorder="1" applyAlignment="1">
      <alignment horizontal="left" wrapText="1"/>
    </xf>
    <xf numFmtId="0" fontId="10" fillId="0" borderId="30" xfId="0" applyFont="1" applyFill="1" applyBorder="1" applyAlignment="1">
      <alignment/>
    </xf>
    <xf numFmtId="0" fontId="22" fillId="0" borderId="0" xfId="0" applyFont="1" applyAlignment="1">
      <alignment/>
    </xf>
    <xf numFmtId="0" fontId="11" fillId="0" borderId="0" xfId="0" applyFont="1" applyBorder="1" applyAlignment="1">
      <alignment/>
    </xf>
    <xf numFmtId="0" fontId="11" fillId="0" borderId="16" xfId="0" applyFont="1" applyBorder="1" applyAlignment="1">
      <alignment horizontal="left"/>
    </xf>
    <xf numFmtId="0" fontId="11" fillId="0" borderId="12" xfId="0" applyFont="1" applyBorder="1" applyAlignment="1">
      <alignment horizontal="left"/>
    </xf>
    <xf numFmtId="4" fontId="28" fillId="0" borderId="28" xfId="0" applyNumberFormat="1" applyFont="1" applyBorder="1" applyAlignment="1">
      <alignment/>
    </xf>
    <xf numFmtId="0" fontId="50" fillId="0" borderId="0" xfId="0" applyFont="1" applyAlignment="1" applyProtection="1">
      <alignment/>
      <protection locked="0"/>
    </xf>
    <xf numFmtId="0" fontId="10" fillId="0" borderId="0" xfId="0" applyFont="1" applyAlignment="1" applyProtection="1">
      <alignment/>
      <protection locked="0"/>
    </xf>
    <xf numFmtId="39" fontId="10" fillId="4" borderId="21" xfId="42" applyNumberFormat="1" applyFont="1" applyFill="1" applyBorder="1" applyAlignment="1" applyProtection="1">
      <alignment/>
      <protection locked="0"/>
    </xf>
    <xf numFmtId="10" fontId="5" fillId="0" borderId="0" xfId="0" applyNumberFormat="1" applyFont="1" applyFill="1" applyBorder="1" applyAlignment="1">
      <alignment/>
    </xf>
    <xf numFmtId="0" fontId="22" fillId="0" borderId="0" xfId="0" applyFont="1" applyAlignment="1" applyProtection="1">
      <alignment/>
      <protection locked="0"/>
    </xf>
    <xf numFmtId="0" fontId="50" fillId="0" borderId="0" xfId="0" applyFont="1" applyAlignment="1" applyProtection="1">
      <alignment horizontal="center"/>
      <protection locked="0"/>
    </xf>
    <xf numFmtId="0" fontId="20" fillId="0" borderId="12" xfId="0" applyFont="1" applyBorder="1" applyAlignment="1">
      <alignment horizontal="left"/>
    </xf>
    <xf numFmtId="0" fontId="28" fillId="0" borderId="0" xfId="0" applyNumberFormat="1" applyFont="1" applyAlignment="1">
      <alignment horizontal="left" wrapText="1"/>
    </xf>
    <xf numFmtId="0" fontId="0" fillId="0" borderId="0" xfId="0" applyFont="1" applyBorder="1" applyAlignment="1">
      <alignment horizontal="left"/>
    </xf>
    <xf numFmtId="0" fontId="0" fillId="0" borderId="0" xfId="0" applyAlignment="1">
      <alignment vertical="top" wrapText="1"/>
    </xf>
    <xf numFmtId="0" fontId="0" fillId="0" borderId="0" xfId="0" applyAlignment="1">
      <alignment wrapText="1"/>
    </xf>
    <xf numFmtId="0" fontId="5" fillId="0" borderId="21" xfId="0" applyFont="1" applyBorder="1" applyAlignment="1">
      <alignment horizontal="left"/>
    </xf>
    <xf numFmtId="0" fontId="5" fillId="0" borderId="11" xfId="0" applyFont="1" applyBorder="1" applyAlignment="1">
      <alignment horizontal="left"/>
    </xf>
    <xf numFmtId="0" fontId="48" fillId="7" borderId="18" xfId="53" applyFont="1" applyFill="1" applyBorder="1" applyAlignment="1" applyProtection="1">
      <alignment horizontal="left" vertical="center" wrapText="1"/>
      <protection/>
    </xf>
    <xf numFmtId="0" fontId="48" fillId="7" borderId="21" xfId="53" applyFont="1" applyFill="1" applyBorder="1" applyAlignment="1" applyProtection="1">
      <alignment horizontal="left" vertical="center" wrapText="1"/>
      <protection/>
    </xf>
    <xf numFmtId="0" fontId="48" fillId="7" borderId="11" xfId="53" applyFont="1" applyFill="1" applyBorder="1" applyAlignment="1" applyProtection="1">
      <alignment horizontal="left" vertical="center" wrapText="1"/>
      <protection/>
    </xf>
    <xf numFmtId="0" fontId="0" fillId="0" borderId="0" xfId="0" applyAlignment="1">
      <alignment horizontal="left"/>
    </xf>
    <xf numFmtId="0" fontId="20" fillId="0" borderId="0" xfId="0" applyFont="1" applyBorder="1" applyAlignment="1" applyProtection="1">
      <alignment horizontal="left"/>
      <protection locked="0"/>
    </xf>
    <xf numFmtId="0" fontId="0" fillId="0" borderId="0" xfId="0" applyBorder="1" applyAlignment="1">
      <alignment/>
    </xf>
    <xf numFmtId="0" fontId="28" fillId="0" borderId="0" xfId="0" applyNumberFormat="1" applyFont="1" applyBorder="1" applyAlignment="1">
      <alignment horizontal="left" vertical="top" wrapText="1"/>
    </xf>
    <xf numFmtId="0" fontId="28" fillId="0" borderId="26" xfId="0" applyNumberFormat="1" applyFont="1" applyBorder="1" applyAlignment="1">
      <alignment horizontal="left" vertical="top" wrapText="1"/>
    </xf>
    <xf numFmtId="10" fontId="0" fillId="0" borderId="0" xfId="0" applyNumberFormat="1" applyFont="1" applyFill="1" applyBorder="1" applyAlignment="1">
      <alignment horizontal="left"/>
    </xf>
    <xf numFmtId="0" fontId="0" fillId="0" borderId="0" xfId="0" applyBorder="1" applyAlignment="1">
      <alignment horizontal="left"/>
    </xf>
    <xf numFmtId="0" fontId="0" fillId="0" borderId="19" xfId="0" applyFont="1" applyBorder="1" applyAlignment="1">
      <alignment horizontal="left"/>
    </xf>
    <xf numFmtId="0" fontId="0" fillId="0" borderId="0" xfId="0" applyFont="1" applyBorder="1" applyAlignment="1">
      <alignment horizontal="left"/>
    </xf>
    <xf numFmtId="0" fontId="0" fillId="0" borderId="26" xfId="0" applyFont="1" applyBorder="1" applyAlignment="1">
      <alignment horizontal="left"/>
    </xf>
    <xf numFmtId="0" fontId="51" fillId="0" borderId="0" xfId="0" applyFont="1" applyBorder="1" applyAlignment="1">
      <alignment horizontal="left"/>
    </xf>
    <xf numFmtId="0" fontId="49" fillId="0" borderId="0" xfId="0" applyFont="1" applyBorder="1" applyAlignment="1">
      <alignment horizontal="left"/>
    </xf>
    <xf numFmtId="0" fontId="49" fillId="0" borderId="26" xfId="0" applyFont="1" applyBorder="1" applyAlignment="1">
      <alignment horizontal="left"/>
    </xf>
    <xf numFmtId="0" fontId="28" fillId="0" borderId="0" xfId="0" applyFont="1" applyBorder="1" applyAlignment="1">
      <alignment horizontal="left" vertical="top" wrapText="1"/>
    </xf>
    <xf numFmtId="0" fontId="28" fillId="0" borderId="26" xfId="0" applyFont="1" applyBorder="1" applyAlignment="1">
      <alignment horizontal="left" vertical="top" wrapText="1"/>
    </xf>
    <xf numFmtId="0" fontId="0" fillId="0" borderId="0" xfId="0" applyAlignment="1">
      <alignment horizontal="left" vertical="top" wrapText="1"/>
    </xf>
    <xf numFmtId="0" fontId="0" fillId="0" borderId="0" xfId="59" applyNumberFormat="1" applyFont="1" applyAlignment="1">
      <alignment horizontal="left"/>
    </xf>
    <xf numFmtId="0" fontId="20" fillId="0" borderId="17" xfId="0" applyFont="1" applyBorder="1" applyAlignment="1">
      <alignment horizontal="left"/>
    </xf>
    <xf numFmtId="0" fontId="20" fillId="0" borderId="0" xfId="0" applyFont="1" applyAlignment="1" applyProtection="1">
      <alignment horizontal="left" wrapText="1"/>
      <protection locked="0"/>
    </xf>
    <xf numFmtId="0" fontId="0" fillId="0" borderId="0" xfId="0" applyAlignment="1">
      <alignment horizontal="center"/>
    </xf>
    <xf numFmtId="0" fontId="28" fillId="0" borderId="0" xfId="0" applyFont="1" applyAlignment="1">
      <alignment horizontal="left"/>
    </xf>
    <xf numFmtId="0" fontId="2" fillId="0" borderId="16" xfId="0" applyFont="1" applyBorder="1" applyAlignment="1">
      <alignment horizontal="center"/>
    </xf>
    <xf numFmtId="10" fontId="13" fillId="0" borderId="0" xfId="59" applyNumberFormat="1" applyFont="1" applyBorder="1" applyAlignment="1">
      <alignment horizontal="left"/>
    </xf>
    <xf numFmtId="0" fontId="11" fillId="0" borderId="0" xfId="0" applyFont="1" applyBorder="1" applyAlignment="1">
      <alignment horizontal="left"/>
    </xf>
    <xf numFmtId="0" fontId="23" fillId="4" borderId="18" xfId="0" applyFont="1" applyFill="1" applyBorder="1" applyAlignment="1" applyProtection="1">
      <alignment horizontal="center"/>
      <protection locked="0"/>
    </xf>
    <xf numFmtId="0" fontId="23" fillId="4" borderId="21" xfId="0" applyFont="1" applyFill="1" applyBorder="1" applyAlignment="1" applyProtection="1">
      <alignment horizontal="center"/>
      <protection locked="0"/>
    </xf>
    <xf numFmtId="0" fontId="23" fillId="4" borderId="11" xfId="0" applyFont="1" applyFill="1" applyBorder="1" applyAlignment="1" applyProtection="1">
      <alignment horizontal="center"/>
      <protection locked="0"/>
    </xf>
    <xf numFmtId="0" fontId="25" fillId="0" borderId="0" xfId="0" applyFont="1" applyBorder="1" applyAlignment="1">
      <alignment horizontal="center"/>
    </xf>
    <xf numFmtId="0" fontId="10" fillId="0" borderId="16"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ill>
        <patternFill>
          <bgColor indexed="11"/>
        </patternFill>
      </fill>
    </dxf>
    <dxf>
      <fill>
        <patternFill>
          <bgColor indexed="53"/>
        </patternFill>
      </fill>
    </dxf>
    <dxf>
      <fill>
        <patternFill>
          <bgColor indexed="51"/>
        </patternFill>
      </fill>
    </dxf>
    <dxf>
      <font>
        <color indexed="53"/>
      </font>
    </dxf>
    <dxf>
      <font>
        <color indexed="57"/>
      </font>
    </dxf>
    <dxf>
      <font>
        <b/>
        <i val="0"/>
        <color indexed="9"/>
      </font>
      <fill>
        <patternFill>
          <bgColor indexed="57"/>
        </patternFill>
      </fill>
    </dxf>
    <dxf>
      <font>
        <b/>
        <i val="0"/>
      </font>
      <fill>
        <patternFill>
          <bgColor indexed="51"/>
        </patternFill>
      </fill>
    </dxf>
    <dxf>
      <font>
        <b/>
        <i val="0"/>
        <color auto="1"/>
      </font>
      <fill>
        <patternFill>
          <bgColor indexed="11"/>
        </patternFill>
      </fill>
    </dxf>
    <dxf>
      <font>
        <b/>
        <i val="0"/>
        <color indexed="9"/>
      </font>
      <fill>
        <patternFill>
          <bgColor indexed="57"/>
        </patternFill>
      </fill>
    </dxf>
    <dxf>
      <font>
        <b/>
        <i val="0"/>
        <color auto="1"/>
      </font>
      <fill>
        <patternFill>
          <bgColor indexed="51"/>
        </patternFill>
      </fill>
    </dxf>
    <dxf>
      <font>
        <b/>
        <i val="0"/>
        <color auto="1"/>
      </font>
      <fill>
        <patternFill>
          <bgColor indexed="11"/>
        </patternFill>
      </fill>
    </dxf>
    <dxf>
      <font>
        <b/>
        <i val="0"/>
        <color indexed="9"/>
      </font>
      <fill>
        <patternFill>
          <bgColor indexed="10"/>
        </patternFill>
      </fill>
    </dxf>
    <dxf>
      <font>
        <b/>
        <i val="0"/>
        <color indexed="9"/>
      </font>
      <fill>
        <patternFill>
          <bgColor indexed="57"/>
        </patternFill>
      </fill>
    </dxf>
    <dxf>
      <font>
        <b/>
        <i val="0"/>
        <color indexed="9"/>
      </font>
      <fill>
        <patternFill>
          <bgColor indexed="57"/>
        </patternFill>
      </fill>
    </dxf>
    <dxf>
      <font>
        <b/>
        <i val="0"/>
      </font>
      <fill>
        <patternFill>
          <bgColor indexed="11"/>
        </patternFill>
      </fill>
    </dxf>
    <dxf>
      <font>
        <b/>
        <i val="0"/>
        <color indexed="9"/>
      </font>
      <fill>
        <patternFill>
          <bgColor indexed="10"/>
        </patternFill>
      </fill>
    </dxf>
    <dxf>
      <font>
        <b/>
        <i val="0"/>
      </font>
      <fill>
        <patternFill>
          <bgColor indexed="11"/>
        </patternFill>
      </fill>
    </dxf>
    <dxf>
      <font>
        <b/>
        <i val="0"/>
      </font>
      <fill>
        <patternFill>
          <bgColor indexed="51"/>
        </patternFill>
      </fill>
    </dxf>
    <dxf>
      <font>
        <b/>
        <i val="0"/>
      </font>
      <fill>
        <patternFill>
          <bgColor indexed="11"/>
        </patternFill>
      </fill>
    </dxf>
    <dxf>
      <font>
        <b/>
        <i val="0"/>
        <color indexed="9"/>
      </font>
      <fill>
        <patternFill>
          <bgColor indexed="57"/>
        </patternFill>
      </fill>
    </dxf>
    <dxf>
      <font>
        <b/>
        <i val="0"/>
        <color indexed="9"/>
      </font>
      <fill>
        <patternFill>
          <bgColor indexed="10"/>
        </patternFill>
      </fill>
    </dxf>
    <dxf>
      <font>
        <b/>
        <i val="0"/>
      </font>
      <fill>
        <patternFill>
          <bgColor indexed="51"/>
        </patternFill>
      </fill>
    </dxf>
    <dxf>
      <font>
        <b/>
        <i val="0"/>
        <color indexed="9"/>
      </font>
      <fill>
        <patternFill>
          <bgColor indexed="57"/>
        </patternFill>
      </fill>
    </dxf>
    <dxf>
      <font>
        <b/>
        <i val="0"/>
        <color auto="1"/>
      </font>
    </dxf>
    <dxf>
      <font>
        <b/>
        <i val="0"/>
      </font>
      <fill>
        <patternFill>
          <bgColor indexed="51"/>
        </patternFill>
      </fill>
    </dxf>
    <dxf>
      <font>
        <b/>
        <i val="0"/>
      </font>
      <fill>
        <patternFill>
          <bgColor indexed="11"/>
        </patternFill>
      </fill>
    </dxf>
    <dxf>
      <font>
        <b/>
        <i val="0"/>
        <color auto="1"/>
      </font>
    </dxf>
    <dxf>
      <font>
        <color indexed="53"/>
      </font>
      <fill>
        <patternFill patternType="none">
          <bgColor indexed="65"/>
        </patternFill>
      </fill>
    </dxf>
    <dxf>
      <font>
        <color indexed="17"/>
      </font>
      <fill>
        <patternFill patternType="none">
          <bgColor indexed="65"/>
        </patternFill>
      </fill>
    </dxf>
    <dxf>
      <font>
        <color indexed="17"/>
      </font>
    </dxf>
    <dxf>
      <font>
        <color indexed="53"/>
      </font>
    </dxf>
    <dxf>
      <font>
        <b/>
        <i val="0"/>
        <color auto="1"/>
      </font>
      <fill>
        <patternFill>
          <bgColor indexed="52"/>
        </patternFill>
      </fill>
    </dxf>
    <dxf>
      <font>
        <b/>
        <i val="0"/>
      </font>
      <fill>
        <patternFill>
          <bgColor indexed="11"/>
        </patternFill>
      </fill>
    </dxf>
    <dxf>
      <font>
        <b/>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xdr:row>
      <xdr:rowOff>133350</xdr:rowOff>
    </xdr:from>
    <xdr:to>
      <xdr:col>15</xdr:col>
      <xdr:colOff>104775</xdr:colOff>
      <xdr:row>1</xdr:row>
      <xdr:rowOff>342900</xdr:rowOff>
    </xdr:to>
    <xdr:pic>
      <xdr:nvPicPr>
        <xdr:cNvPr id="1" name="Picture 59"/>
        <xdr:cNvPicPr preferRelativeResize="1">
          <a:picLocks noChangeAspect="1"/>
        </xdr:cNvPicPr>
      </xdr:nvPicPr>
      <xdr:blipFill>
        <a:blip r:embed="rId1"/>
        <a:stretch>
          <a:fillRect/>
        </a:stretch>
      </xdr:blipFill>
      <xdr:spPr>
        <a:xfrm>
          <a:off x="10591800" y="266700"/>
          <a:ext cx="809625" cy="209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krate.com/rates/safe-sound/bank-ratings-search.aspx?t=cb"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rate.com/rates/safe-sound/financial-statements.aspx?fedid=268455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nkrate.com/rates/safe-sound/memorandums-memos.aspx?fedid=17969"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53"/>
    <pageSetUpPr fitToPage="1"/>
  </sheetPr>
  <dimension ref="A1:V47"/>
  <sheetViews>
    <sheetView showGridLines="0" showRowColHeaders="0" tabSelected="1" zoomScale="90" zoomScaleNormal="90" zoomScalePageLayoutView="0" workbookViewId="0" topLeftCell="A1">
      <selection activeCell="A8" sqref="A8"/>
    </sheetView>
  </sheetViews>
  <sheetFormatPr defaultColWidth="9.140625" defaultRowHeight="12.75"/>
  <cols>
    <col min="1" max="1" width="2.00390625" style="0" customWidth="1"/>
    <col min="2" max="2" width="3.00390625" style="0" customWidth="1"/>
    <col min="3" max="3" width="47.140625" style="0" customWidth="1"/>
    <col min="4" max="4" width="6.421875" style="0" customWidth="1"/>
    <col min="5" max="5" width="8.57421875" style="0" customWidth="1"/>
    <col min="6" max="6" width="8.8515625" style="0" customWidth="1"/>
    <col min="7" max="7" width="2.421875" style="0" customWidth="1"/>
    <col min="8" max="8" width="6.57421875" style="0" customWidth="1"/>
    <col min="9" max="9" width="38.57421875" style="0" customWidth="1"/>
    <col min="10" max="10" width="2.140625" style="0" customWidth="1"/>
    <col min="11" max="11" width="8.421875" style="0" customWidth="1"/>
    <col min="12" max="12" width="12.28125" style="0" customWidth="1"/>
    <col min="13" max="13" width="1.8515625" style="0" customWidth="1"/>
    <col min="14" max="16" width="10.57421875" style="0" customWidth="1"/>
    <col min="17" max="17" width="12.421875" style="0" customWidth="1"/>
    <col min="18" max="18" width="12.57421875" style="0" hidden="1" customWidth="1"/>
    <col min="19" max="19" width="0" style="0" hidden="1" customWidth="1"/>
  </cols>
  <sheetData>
    <row r="1" spans="3:17" ht="10.5" customHeight="1">
      <c r="C1" s="199"/>
      <c r="D1" s="199"/>
      <c r="E1" s="44"/>
      <c r="F1" s="1"/>
      <c r="G1" s="1"/>
      <c r="H1" s="1"/>
      <c r="I1" s="128" t="s">
        <v>6</v>
      </c>
      <c r="J1" s="128"/>
      <c r="K1" s="140"/>
      <c r="L1" s="141"/>
      <c r="M1" s="141"/>
      <c r="N1" s="141"/>
      <c r="O1" s="141"/>
      <c r="P1" s="141"/>
      <c r="Q1" s="142"/>
    </row>
    <row r="2" spans="2:22" ht="27.75" customHeight="1">
      <c r="B2" s="202" t="str">
        <f>Statement!A229</f>
        <v>JPMORGAN CHASE BANK, NATIONAL ASSOCIATION</v>
      </c>
      <c r="C2" s="203"/>
      <c r="D2" s="204"/>
      <c r="E2" s="2" t="s">
        <v>36</v>
      </c>
      <c r="F2" s="2" t="s">
        <v>37</v>
      </c>
      <c r="G2" s="102"/>
      <c r="H2" s="205" t="s">
        <v>304</v>
      </c>
      <c r="I2" s="205"/>
      <c r="J2" s="109"/>
      <c r="K2" s="143" t="s">
        <v>295</v>
      </c>
      <c r="L2" s="175" t="s">
        <v>305</v>
      </c>
      <c r="M2" s="176"/>
      <c r="N2" s="176"/>
      <c r="O2" s="176"/>
      <c r="P2" s="177"/>
      <c r="Q2" s="144"/>
      <c r="R2" s="76"/>
      <c r="S2" s="76"/>
      <c r="T2" s="76"/>
      <c r="U2" s="76"/>
      <c r="V2" s="76"/>
    </row>
    <row r="3" spans="6:19" ht="12.75" customHeight="1">
      <c r="F3" s="3"/>
      <c r="G3" s="57"/>
      <c r="I3" s="32"/>
      <c r="J3" s="32"/>
      <c r="K3" s="143" t="s">
        <v>296</v>
      </c>
      <c r="L3" s="181" t="s">
        <v>306</v>
      </c>
      <c r="M3" s="181"/>
      <c r="N3" s="181"/>
      <c r="O3" s="181"/>
      <c r="P3" s="181"/>
      <c r="Q3" s="182"/>
      <c r="R3" s="134" t="s">
        <v>86</v>
      </c>
      <c r="S3" s="46"/>
    </row>
    <row r="4" spans="2:19" ht="12.75">
      <c r="B4" s="3" t="s">
        <v>39</v>
      </c>
      <c r="D4" s="100"/>
      <c r="E4" s="5" t="s">
        <v>40</v>
      </c>
      <c r="F4" s="6">
        <f>Statement!B219</f>
        <v>0.675406</v>
      </c>
      <c r="G4" s="57"/>
      <c r="H4" s="117"/>
      <c r="I4" s="110" t="s">
        <v>84</v>
      </c>
      <c r="J4" s="90"/>
      <c r="K4" s="143" t="s">
        <v>19</v>
      </c>
      <c r="L4" s="181" t="s">
        <v>4</v>
      </c>
      <c r="M4" s="181"/>
      <c r="N4" s="181"/>
      <c r="O4" s="181"/>
      <c r="P4" s="181"/>
      <c r="Q4" s="182"/>
      <c r="R4" s="135"/>
      <c r="S4" s="4" t="s">
        <v>38</v>
      </c>
    </row>
    <row r="5" spans="3:19" ht="12.75">
      <c r="C5" s="60" t="s">
        <v>88</v>
      </c>
      <c r="D5" s="8"/>
      <c r="E5" s="8"/>
      <c r="F5" s="3"/>
      <c r="G5" s="58"/>
      <c r="H5" s="72">
        <f>Statement!B223</f>
        <v>27.48</v>
      </c>
      <c r="I5" s="84" t="s">
        <v>87</v>
      </c>
      <c r="J5" s="155"/>
      <c r="K5" s="143"/>
      <c r="L5" s="181" t="s">
        <v>5</v>
      </c>
      <c r="M5" s="181"/>
      <c r="N5" s="181"/>
      <c r="O5" s="181"/>
      <c r="P5" s="181"/>
      <c r="Q5" s="182"/>
      <c r="R5" s="136"/>
      <c r="S5" s="7" t="s">
        <v>41</v>
      </c>
    </row>
    <row r="6" spans="2:19" ht="12.75">
      <c r="B6" s="9"/>
      <c r="C6" s="9"/>
      <c r="D6" s="9"/>
      <c r="E6" s="9"/>
      <c r="F6" s="10"/>
      <c r="G6" s="57"/>
      <c r="H6" s="73">
        <f>Statement!B224</f>
        <v>3.43</v>
      </c>
      <c r="I6" s="85" t="s">
        <v>80</v>
      </c>
      <c r="J6" s="155"/>
      <c r="K6" s="143" t="s">
        <v>20</v>
      </c>
      <c r="L6" s="191" t="s">
        <v>21</v>
      </c>
      <c r="M6" s="191"/>
      <c r="N6" s="191"/>
      <c r="O6" s="191"/>
      <c r="P6" s="191"/>
      <c r="Q6" s="192"/>
      <c r="R6" s="136"/>
      <c r="S6" s="7" t="s">
        <v>42</v>
      </c>
    </row>
    <row r="7" spans="2:19" ht="12.75">
      <c r="B7" s="3" t="s">
        <v>85</v>
      </c>
      <c r="E7" s="13" t="s">
        <v>79</v>
      </c>
      <c r="F7" s="14">
        <f>R12/AVERAGE(R16,R17)</f>
        <v>0.004992403508553536</v>
      </c>
      <c r="G7" s="58"/>
      <c r="H7" s="73">
        <f>Statement!B225</f>
        <v>0.46</v>
      </c>
      <c r="I7" s="85" t="s">
        <v>81</v>
      </c>
      <c r="J7" s="155"/>
      <c r="K7" s="146"/>
      <c r="L7" s="166"/>
      <c r="M7" s="113"/>
      <c r="N7" s="125">
        <v>852218</v>
      </c>
      <c r="O7" s="185" t="s">
        <v>8</v>
      </c>
      <c r="P7" s="186"/>
      <c r="Q7" s="187"/>
      <c r="R7" s="137">
        <f>Statement!B201</f>
        <v>39740000</v>
      </c>
      <c r="S7" s="12" t="s">
        <v>43</v>
      </c>
    </row>
    <row r="8" spans="3:19" ht="12.75">
      <c r="C8" s="16" t="s">
        <v>45</v>
      </c>
      <c r="D8" s="16"/>
      <c r="E8" s="17"/>
      <c r="F8" s="18"/>
      <c r="G8" s="58"/>
      <c r="H8" s="73">
        <f>Statement!B226</f>
        <v>6.38</v>
      </c>
      <c r="I8" s="85" t="s">
        <v>82</v>
      </c>
      <c r="J8" s="155"/>
      <c r="K8" s="148"/>
      <c r="L8" s="149"/>
      <c r="M8" s="145"/>
      <c r="N8" s="145"/>
      <c r="O8" s="188" t="s">
        <v>7</v>
      </c>
      <c r="P8" s="189"/>
      <c r="Q8" s="190"/>
      <c r="R8" s="138"/>
      <c r="S8" s="15" t="s">
        <v>44</v>
      </c>
    </row>
    <row r="9" spans="2:19" ht="12.75">
      <c r="B9" s="20"/>
      <c r="C9" s="9"/>
      <c r="D9" s="9"/>
      <c r="E9" s="20"/>
      <c r="F9" s="21"/>
      <c r="G9" s="58"/>
      <c r="H9" s="73">
        <f>Statement!B227</f>
        <v>4.56</v>
      </c>
      <c r="I9" s="85" t="s">
        <v>83</v>
      </c>
      <c r="J9" s="155"/>
      <c r="K9" s="150"/>
      <c r="L9" s="149" t="s">
        <v>301</v>
      </c>
      <c r="M9" s="132"/>
      <c r="N9" s="132"/>
      <c r="O9" s="132"/>
      <c r="P9" s="132"/>
      <c r="Q9" s="147"/>
      <c r="R9" s="138"/>
      <c r="S9" s="19" t="s">
        <v>46</v>
      </c>
    </row>
    <row r="10" spans="2:19" ht="13.5" thickBot="1">
      <c r="B10" s="3" t="s">
        <v>48</v>
      </c>
      <c r="D10" s="100"/>
      <c r="E10" s="22"/>
      <c r="F10" s="23">
        <f>Memo!B276/100</f>
        <v>0.0859</v>
      </c>
      <c r="G10" s="58"/>
      <c r="H10" s="104" t="s">
        <v>31</v>
      </c>
      <c r="I10" s="133"/>
      <c r="J10" s="156"/>
      <c r="K10" s="151"/>
      <c r="L10" s="161" t="s">
        <v>302</v>
      </c>
      <c r="M10" s="152"/>
      <c r="N10" s="152"/>
      <c r="O10" s="152"/>
      <c r="P10" s="152"/>
      <c r="Q10" s="153"/>
      <c r="R10" s="139">
        <f>Statement!B204</f>
        <v>11708000</v>
      </c>
      <c r="S10" s="19" t="s">
        <v>47</v>
      </c>
    </row>
    <row r="11" spans="2:19" ht="12.75">
      <c r="B11" s="24"/>
      <c r="C11" s="25" t="s">
        <v>50</v>
      </c>
      <c r="D11" s="206" t="str">
        <f>Memo!C276</f>
        <v>Very Healthy</v>
      </c>
      <c r="E11" s="206"/>
      <c r="F11" s="206"/>
      <c r="G11" s="58"/>
      <c r="H11" s="105" t="s">
        <v>32</v>
      </c>
      <c r="I11" s="106"/>
      <c r="J11" s="32"/>
      <c r="K11" s="112"/>
      <c r="L11" s="112"/>
      <c r="R11" s="111"/>
      <c r="S11" s="7" t="s">
        <v>49</v>
      </c>
    </row>
    <row r="12" spans="2:19" ht="12.75">
      <c r="B12" s="27"/>
      <c r="F12" s="3"/>
      <c r="G12" s="58"/>
      <c r="H12" s="107" t="s">
        <v>33</v>
      </c>
      <c r="I12" s="108"/>
      <c r="J12" s="32"/>
      <c r="L12" s="196" t="s">
        <v>299</v>
      </c>
      <c r="M12" s="196"/>
      <c r="N12" s="196"/>
      <c r="O12" s="196"/>
      <c r="P12" s="196"/>
      <c r="Q12" s="196"/>
      <c r="R12" s="131">
        <f>Statement!B206</f>
        <v>8422000</v>
      </c>
      <c r="S12" s="7" t="s">
        <v>51</v>
      </c>
    </row>
    <row r="13" spans="2:19" ht="12.75">
      <c r="B13" s="3" t="s">
        <v>53</v>
      </c>
      <c r="E13" s="13" t="s">
        <v>54</v>
      </c>
      <c r="F13" s="28">
        <f>R18/R16</f>
        <v>0.07820559764671767</v>
      </c>
      <c r="G13" s="58"/>
      <c r="L13" s="179" t="s">
        <v>303</v>
      </c>
      <c r="M13" s="180"/>
      <c r="N13" s="180"/>
      <c r="O13" s="180"/>
      <c r="P13" s="180"/>
      <c r="Q13" s="180"/>
      <c r="R13" s="48"/>
      <c r="S13" s="4" t="s">
        <v>52</v>
      </c>
    </row>
    <row r="14" spans="2:19" ht="11.25" customHeight="1">
      <c r="B14" s="24"/>
      <c r="C14" s="29" t="s">
        <v>56</v>
      </c>
      <c r="D14" s="29"/>
      <c r="E14" s="24"/>
      <c r="F14" s="24"/>
      <c r="G14" s="58"/>
      <c r="L14" s="125">
        <v>352772</v>
      </c>
      <c r="M14" s="124" t="s">
        <v>16</v>
      </c>
      <c r="R14" s="49">
        <f>Statement!B207</f>
        <v>531150000</v>
      </c>
      <c r="S14" s="12" t="s">
        <v>55</v>
      </c>
    </row>
    <row r="15" spans="2:19" ht="12.75">
      <c r="B15" s="32"/>
      <c r="C15" s="33"/>
      <c r="D15" s="33"/>
      <c r="E15" s="32"/>
      <c r="F15" s="34"/>
      <c r="G15" s="58"/>
      <c r="L15" s="125">
        <v>3048487</v>
      </c>
      <c r="M15" s="124" t="s">
        <v>14</v>
      </c>
      <c r="R15" s="49">
        <f>Statement!B208</f>
        <v>633262000</v>
      </c>
      <c r="S15" s="30" t="s">
        <v>57</v>
      </c>
    </row>
    <row r="16" spans="2:19" ht="12.75" customHeight="1">
      <c r="B16" s="34" t="s">
        <v>64</v>
      </c>
      <c r="C16" s="35"/>
      <c r="D16" s="50" t="s">
        <v>76</v>
      </c>
      <c r="E16" s="45" t="s">
        <v>75</v>
      </c>
      <c r="F16" s="36">
        <f>Statement!B216/100</f>
        <v>0.0447</v>
      </c>
      <c r="G16" s="58"/>
      <c r="L16" s="125">
        <v>597555</v>
      </c>
      <c r="M16" s="124" t="s">
        <v>15</v>
      </c>
      <c r="N16" s="103"/>
      <c r="R16" s="47">
        <f>Statement!B209</f>
        <v>1627684000</v>
      </c>
      <c r="S16" s="15" t="s">
        <v>58</v>
      </c>
    </row>
    <row r="17" spans="2:19" ht="12.75">
      <c r="B17" s="51"/>
      <c r="C17" s="33" t="s">
        <v>66</v>
      </c>
      <c r="D17" s="52" t="s">
        <v>77</v>
      </c>
      <c r="E17" s="32"/>
      <c r="F17" s="36">
        <f>Statement!B217/100</f>
        <v>0.0271</v>
      </c>
      <c r="G17" s="58"/>
      <c r="L17" s="125">
        <v>167565</v>
      </c>
      <c r="M17" s="124" t="s">
        <v>35</v>
      </c>
      <c r="N17" s="103"/>
      <c r="R17" s="49">
        <f>Statement!B210</f>
        <v>1746242000</v>
      </c>
      <c r="S17" s="19" t="s">
        <v>60</v>
      </c>
    </row>
    <row r="18" spans="2:19" ht="12.75">
      <c r="B18" s="38"/>
      <c r="C18" s="24"/>
      <c r="D18" s="24"/>
      <c r="E18" s="200" t="str">
        <f>IF(F16&gt;F17,"Caution, trend is up.  Is this industry wide or bank specific?",IF(F17&gt;F16,"Good, trend is down.  This is especially good if this bank is down and the industry is up",""))</f>
        <v>Caution, trend is up.  Is this industry wide or bank specific?</v>
      </c>
      <c r="F18" s="200"/>
      <c r="G18" s="200"/>
      <c r="H18" s="200"/>
      <c r="I18" s="200"/>
      <c r="J18" s="119"/>
      <c r="L18" s="125">
        <v>305442</v>
      </c>
      <c r="M18" s="124" t="s">
        <v>18</v>
      </c>
      <c r="N18" s="103"/>
      <c r="R18" s="47">
        <f>Statement!B211</f>
        <v>127294000</v>
      </c>
      <c r="S18" s="31" t="s">
        <v>61</v>
      </c>
    </row>
    <row r="19" spans="2:19" ht="12.75">
      <c r="B19" s="51"/>
      <c r="C19" s="33"/>
      <c r="D19" s="52"/>
      <c r="E19" s="9"/>
      <c r="F19" s="121"/>
      <c r="G19" s="59"/>
      <c r="L19" s="125">
        <v>852218</v>
      </c>
      <c r="M19" s="124" t="s">
        <v>308</v>
      </c>
      <c r="R19" s="47">
        <f>Statement!B212</f>
        <v>128767000</v>
      </c>
      <c r="S19" s="31" t="s">
        <v>62</v>
      </c>
    </row>
    <row r="20" spans="2:19" ht="12.75">
      <c r="B20" s="3" t="s">
        <v>68</v>
      </c>
      <c r="D20" s="50"/>
      <c r="E20" s="32"/>
      <c r="F20" s="23">
        <f>(R14/R15*100-100)/100</f>
        <v>-0.16124763525997138</v>
      </c>
      <c r="G20" s="58"/>
      <c r="L20" s="167">
        <v>869663</v>
      </c>
      <c r="M20" s="162" t="s">
        <v>10</v>
      </c>
      <c r="N20" s="163"/>
      <c r="R20" s="75"/>
      <c r="S20" s="74" t="s">
        <v>63</v>
      </c>
    </row>
    <row r="21" spans="2:19" ht="12.75">
      <c r="B21" s="24"/>
      <c r="C21" s="24"/>
      <c r="D21" s="118"/>
      <c r="E21" s="201" t="str">
        <f>IF(F20&gt;F16,"Provision for Loan Losses is less than the increase in Loans-good",IF(F20&lt;F16,"Caution, Provision for Loan Losses is greater than the increase in Loans",""))</f>
        <v>Caution, Provision for Loan Losses is greater than the increase in Loans</v>
      </c>
      <c r="F21" s="201"/>
      <c r="G21" s="201"/>
      <c r="H21" s="201"/>
      <c r="I21" s="201"/>
      <c r="J21" s="120"/>
      <c r="L21" s="166"/>
      <c r="R21" s="70" t="e">
        <f>Statement!B213</f>
        <v>#N/A</v>
      </c>
      <c r="S21" s="37" t="s">
        <v>65</v>
      </c>
    </row>
    <row r="22" spans="2:19" ht="12.75">
      <c r="B22" s="32"/>
      <c r="C22" s="32"/>
      <c r="D22" s="158"/>
      <c r="E22" s="160"/>
      <c r="F22" s="160"/>
      <c r="G22" s="120"/>
      <c r="H22" s="120"/>
      <c r="I22" s="120"/>
      <c r="L22" s="157"/>
      <c r="R22" s="70"/>
      <c r="S22" s="37" t="s">
        <v>67</v>
      </c>
    </row>
    <row r="23" spans="2:19" ht="12.75" customHeight="1">
      <c r="B23" s="3" t="s">
        <v>28</v>
      </c>
      <c r="D23" s="100"/>
      <c r="E23" t="s">
        <v>30</v>
      </c>
      <c r="F23" s="97">
        <f>Memo!B273</f>
        <v>68.5</v>
      </c>
      <c r="G23" s="183" t="str">
        <f>IF(ISBLANK(Memo!C273),"",Memo!C273)</f>
        <v>Below Normal</v>
      </c>
      <c r="H23" s="183"/>
      <c r="I23" s="183"/>
      <c r="J23" s="116"/>
      <c r="L23" s="184"/>
      <c r="M23" s="184"/>
      <c r="N23" s="184"/>
      <c r="O23" s="184"/>
      <c r="P23" s="184"/>
      <c r="Q23" s="184"/>
      <c r="R23" s="164"/>
      <c r="S23" s="37" t="s">
        <v>78</v>
      </c>
    </row>
    <row r="24" spans="3:19" ht="12.75" customHeight="1">
      <c r="C24" s="16" t="s">
        <v>29</v>
      </c>
      <c r="H24" s="61"/>
      <c r="P24" s="32"/>
      <c r="S24" s="63"/>
    </row>
    <row r="25" spans="2:16" ht="12.75" customHeight="1">
      <c r="B25" s="24"/>
      <c r="C25" s="24"/>
      <c r="D25" s="118"/>
      <c r="E25" s="159"/>
      <c r="F25" s="159"/>
      <c r="G25" s="120"/>
      <c r="H25" s="120"/>
      <c r="I25" s="120"/>
      <c r="J25" s="32"/>
      <c r="K25" s="62"/>
      <c r="P25" s="68"/>
    </row>
    <row r="26" spans="5:13" ht="12.75">
      <c r="E26" s="32"/>
      <c r="F26" s="34"/>
      <c r="G26" s="11"/>
      <c r="J26" s="66"/>
      <c r="K26" s="62"/>
      <c r="L26" s="62"/>
      <c r="M26" s="62"/>
    </row>
    <row r="27" spans="2:13" ht="12.75">
      <c r="B27" s="3" t="s">
        <v>69</v>
      </c>
      <c r="D27" s="100"/>
      <c r="E27" s="13" t="s">
        <v>59</v>
      </c>
      <c r="F27" s="40">
        <f>Memo!B275/100</f>
        <v>0.0255</v>
      </c>
      <c r="G27" s="194" t="str">
        <f>IF(ISBLANK(Memo!C275),"",Memo!C275)</f>
        <v>Substantially Below Average</v>
      </c>
      <c r="H27" s="194"/>
      <c r="I27" s="194"/>
      <c r="J27" s="61"/>
      <c r="K27" s="62"/>
      <c r="L27" s="62"/>
      <c r="M27" s="62"/>
    </row>
    <row r="28" spans="2:16" ht="12.75" customHeight="1">
      <c r="B28" s="24"/>
      <c r="C28" s="42" t="s">
        <v>70</v>
      </c>
      <c r="D28" s="42"/>
      <c r="E28" s="24"/>
      <c r="F28" s="39"/>
      <c r="G28" s="41"/>
      <c r="J28" s="61"/>
      <c r="K28" s="62"/>
      <c r="L28" s="62"/>
      <c r="M28" s="98"/>
      <c r="P28" s="68"/>
    </row>
    <row r="29" spans="6:18" ht="12.75">
      <c r="F29" s="6"/>
      <c r="H29" s="32"/>
      <c r="I29" s="32"/>
      <c r="J29" s="114"/>
      <c r="K29" s="62"/>
      <c r="L29" s="62"/>
      <c r="M29" s="62"/>
      <c r="P29" s="68"/>
      <c r="R29" s="56"/>
    </row>
    <row r="30" spans="2:18" ht="12.75">
      <c r="B30" s="34" t="s">
        <v>74</v>
      </c>
      <c r="C30" s="32"/>
      <c r="D30" s="96"/>
      <c r="E30" s="45"/>
      <c r="F30" s="3">
        <f>Memo!B274</f>
        <v>22.1</v>
      </c>
      <c r="G30" s="178" t="str">
        <f>IF(ISBLANK(Memo!C274),"",Memo!C274)</f>
        <v>Higher Than Standard</v>
      </c>
      <c r="H30" s="178"/>
      <c r="I30" s="178"/>
      <c r="J30" s="32"/>
      <c r="K30" s="68"/>
      <c r="L30" s="62"/>
      <c r="M30" s="62"/>
      <c r="P30" s="95"/>
      <c r="R30" s="67"/>
    </row>
    <row r="31" spans="2:20" ht="12.75" customHeight="1">
      <c r="B31" s="26"/>
      <c r="C31" s="29" t="s">
        <v>27</v>
      </c>
      <c r="D31" s="24"/>
      <c r="E31" s="53"/>
      <c r="F31" s="54"/>
      <c r="H31" s="61"/>
      <c r="I31" s="61"/>
      <c r="J31" s="32"/>
      <c r="K31" s="68"/>
      <c r="L31" s="68"/>
      <c r="M31" s="99"/>
      <c r="P31" s="69"/>
      <c r="Q31" s="65"/>
      <c r="R31" s="129"/>
      <c r="S31" s="129"/>
      <c r="T31" s="129"/>
    </row>
    <row r="32" spans="2:20" ht="12.75" customHeight="1">
      <c r="B32" s="34"/>
      <c r="C32" s="33"/>
      <c r="D32" s="32"/>
      <c r="E32" s="45"/>
      <c r="F32" s="165"/>
      <c r="H32" s="61"/>
      <c r="I32" s="61"/>
      <c r="J32" s="32"/>
      <c r="K32" s="68"/>
      <c r="L32" s="68"/>
      <c r="M32" s="99"/>
      <c r="P32" s="69"/>
      <c r="Q32" s="65"/>
      <c r="R32" s="129"/>
      <c r="S32" s="129"/>
      <c r="T32" s="129"/>
    </row>
    <row r="33" spans="2:20" ht="12.75" customHeight="1">
      <c r="B33" s="34" t="s">
        <v>274</v>
      </c>
      <c r="C33" s="33"/>
      <c r="D33" s="33"/>
      <c r="E33" s="32"/>
      <c r="F33" s="34">
        <f>Memo!B277</f>
        <v>8.05</v>
      </c>
      <c r="G33" s="184" t="str">
        <f>Memo!C277</f>
        <v>Significantly Below Norm</v>
      </c>
      <c r="H33" s="184"/>
      <c r="I33" s="184"/>
      <c r="J33" s="32"/>
      <c r="K33" s="68"/>
      <c r="L33" s="68"/>
      <c r="M33" s="99"/>
      <c r="P33" s="69"/>
      <c r="Q33" s="65"/>
      <c r="R33" s="129"/>
      <c r="S33" s="129"/>
      <c r="T33" s="129"/>
    </row>
    <row r="34" spans="1:20" ht="12.75" customHeight="1">
      <c r="A34" s="24"/>
      <c r="B34" s="26"/>
      <c r="C34" s="29"/>
      <c r="D34" s="24"/>
      <c r="E34" s="53"/>
      <c r="F34" s="54"/>
      <c r="H34" s="61"/>
      <c r="I34" s="61"/>
      <c r="J34" s="32"/>
      <c r="K34" s="68"/>
      <c r="L34" s="68"/>
      <c r="M34" s="99"/>
      <c r="P34" s="69"/>
      <c r="Q34" s="65"/>
      <c r="R34" s="129"/>
      <c r="S34" s="129"/>
      <c r="T34" s="129"/>
    </row>
    <row r="35" spans="2:18" ht="12.75" customHeight="1">
      <c r="B35" s="32"/>
      <c r="C35" s="87"/>
      <c r="D35" s="87"/>
      <c r="E35" s="32"/>
      <c r="F35" s="34"/>
      <c r="G35" s="34"/>
      <c r="H35" s="89"/>
      <c r="I35" s="61"/>
      <c r="J35" s="115"/>
      <c r="K35" s="86"/>
      <c r="L35" s="68"/>
      <c r="M35" s="99"/>
      <c r="P35" s="68"/>
      <c r="Q35" s="129"/>
      <c r="R35" s="56"/>
    </row>
    <row r="36" spans="2:18" ht="12.75" customHeight="1">
      <c r="B36" s="34" t="s">
        <v>139</v>
      </c>
      <c r="C36" s="87"/>
      <c r="D36" s="88"/>
      <c r="E36" s="32"/>
      <c r="F36" s="34">
        <f>Memo!B272</f>
        <v>2.85</v>
      </c>
      <c r="G36" s="170" t="str">
        <f>IF(ISBLANK(Memo!C272),"",Memo!C272)</f>
        <v>Below Standard</v>
      </c>
      <c r="H36" s="170"/>
      <c r="I36" s="170"/>
      <c r="K36" s="86"/>
      <c r="L36" s="86"/>
      <c r="M36" s="64"/>
      <c r="P36" s="68"/>
      <c r="Q36" s="71"/>
      <c r="R36" s="56"/>
    </row>
    <row r="37" spans="2:18" ht="12.75" customHeight="1">
      <c r="B37" s="24"/>
      <c r="C37" s="25" t="s">
        <v>22</v>
      </c>
      <c r="D37" s="24"/>
      <c r="E37" s="24"/>
      <c r="F37" s="24"/>
      <c r="H37" s="61"/>
      <c r="I37" s="32"/>
      <c r="K37" s="86"/>
      <c r="L37" s="86"/>
      <c r="M37" s="64"/>
      <c r="P37" s="68"/>
      <c r="Q37" s="71"/>
      <c r="R37" s="56"/>
    </row>
    <row r="38" spans="2:17" ht="13.5" customHeight="1">
      <c r="B38" s="32"/>
      <c r="C38" s="32"/>
      <c r="D38" s="32"/>
      <c r="E38" s="32"/>
      <c r="F38" s="32"/>
      <c r="K38" s="86"/>
      <c r="L38" s="86"/>
      <c r="M38" s="64"/>
      <c r="P38" s="68"/>
      <c r="Q38" s="71"/>
    </row>
    <row r="39" spans="2:10" ht="13.5" customHeight="1">
      <c r="B39" s="3" t="s">
        <v>71</v>
      </c>
      <c r="E39" s="43" t="s">
        <v>72</v>
      </c>
      <c r="F39" s="130" t="s">
        <v>298</v>
      </c>
      <c r="H39" s="198" t="s">
        <v>34</v>
      </c>
      <c r="I39" s="198"/>
      <c r="J39" s="154"/>
    </row>
    <row r="40" spans="2:11" ht="12.75" customHeight="1">
      <c r="B40" s="24"/>
      <c r="C40" s="25" t="s">
        <v>73</v>
      </c>
      <c r="D40" s="25"/>
      <c r="E40" s="24"/>
      <c r="F40" s="34"/>
      <c r="G40" s="55"/>
      <c r="H40" s="169" t="s">
        <v>13</v>
      </c>
      <c r="I40" s="169"/>
      <c r="K40" s="125"/>
    </row>
    <row r="41" spans="2:12" ht="13.5" customHeight="1">
      <c r="B41" s="127"/>
      <c r="C41" s="126" t="str">
        <f>Memo!A286</f>
        <v>This bank has been rated generally satisfactory.</v>
      </c>
      <c r="D41" s="173" t="str">
        <f>Memo!A279</f>
        <v>STAR RATING: 3 starstarstar</v>
      </c>
      <c r="E41" s="174"/>
      <c r="F41" s="195" t="s">
        <v>300</v>
      </c>
      <c r="G41" s="168"/>
      <c r="H41" s="168"/>
      <c r="I41" s="168"/>
      <c r="J41" s="122"/>
      <c r="K41" s="125"/>
      <c r="L41" s="124"/>
    </row>
    <row r="42" spans="4:10" ht="12.75" customHeight="1">
      <c r="D42" s="83"/>
      <c r="E42" s="83"/>
      <c r="J42" s="122"/>
    </row>
    <row r="43" spans="2:10" ht="12.75" customHeight="1">
      <c r="B43" s="168" t="s">
        <v>9</v>
      </c>
      <c r="C43" s="168"/>
      <c r="D43" s="168"/>
      <c r="E43" s="168"/>
      <c r="F43" s="168"/>
      <c r="G43" s="168"/>
      <c r="H43" s="168"/>
      <c r="I43" s="168"/>
      <c r="J43" s="123"/>
    </row>
    <row r="44" spans="1:9" ht="6" customHeight="1">
      <c r="A44" s="197"/>
      <c r="B44" s="197"/>
      <c r="C44" s="197"/>
      <c r="D44" s="197"/>
      <c r="E44" s="197"/>
      <c r="F44" s="197"/>
      <c r="G44" s="197"/>
      <c r="H44" s="197"/>
      <c r="I44" s="197"/>
    </row>
    <row r="45" spans="2:9" ht="72" customHeight="1">
      <c r="B45" s="193" t="str">
        <f>Memo!A280</f>
        <v>As stated, we have determined a composite Star rating for this bank of 3 starstarstar, indicative of a generally satisfactory financial condition. At times, financial conditions of banks change rapidly and significantly. Hence, our Safe &amp; Sound Star ratings should not be deemed predictive of likely future ratings. However, in view of early warning indicators set forth within this report, in combination with the institution's financial data, we believe that the Star rating for this institution is unlikely to change within the ensuing twelve month period.</v>
      </c>
      <c r="C45" s="193"/>
      <c r="D45" s="193"/>
      <c r="E45" s="193"/>
      <c r="F45" s="193"/>
      <c r="G45" s="193"/>
      <c r="H45" s="193"/>
      <c r="I45" s="193"/>
    </row>
    <row r="46" spans="2:9" ht="84.75" customHeight="1">
      <c r="B46" s="193" t="str">
        <f>Memo!A284</f>
        <v>The bank revealed, as previously stated, satisfactory asset quality. Our conclusion with respect to asset quality incorporates our analysis of data depicting regional economic conditions as well as our computations of a higher than standard September 30, 2010 nonperforming asset ratio, below normal reserve coverage for nonperforming loans, and apparently acceptable quality, or no greater than average, holdings of commercial real estate and construction loans, two categories that can intensify credit risk.</v>
      </c>
      <c r="C46" s="193"/>
      <c r="D46" s="193"/>
      <c r="E46" s="193"/>
      <c r="F46" s="193"/>
      <c r="G46" s="193"/>
      <c r="H46" s="193"/>
      <c r="I46" s="193"/>
    </row>
    <row r="47" spans="2:9" ht="84.75" customHeight="1">
      <c r="B47" s="171" t="str">
        <f>Memo!A282</f>
        <v>Bankrate believes that, as of September 30, 2010, this bank exhibited a generally satisfactory condition, characterized by normal overall, sustainable profitability, satisfactory asset quality, below standard capitalization and near normal liquidity.</v>
      </c>
      <c r="C47" s="172"/>
      <c r="D47" s="172"/>
      <c r="E47" s="172"/>
      <c r="F47" s="172"/>
      <c r="G47" s="172"/>
      <c r="H47" s="172"/>
      <c r="I47" s="172"/>
    </row>
  </sheetData>
  <sheetProtection sheet="1"/>
  <mergeCells count="30">
    <mergeCell ref="C1:D1"/>
    <mergeCell ref="E18:I18"/>
    <mergeCell ref="E21:I21"/>
    <mergeCell ref="B2:D2"/>
    <mergeCell ref="H2:I2"/>
    <mergeCell ref="D11:F11"/>
    <mergeCell ref="B47:I47"/>
    <mergeCell ref="D41:E41"/>
    <mergeCell ref="L12:Q12"/>
    <mergeCell ref="B43:I43"/>
    <mergeCell ref="A44:I44"/>
    <mergeCell ref="H39:I39"/>
    <mergeCell ref="G33:I33"/>
    <mergeCell ref="L6:Q6"/>
    <mergeCell ref="B46:I46"/>
    <mergeCell ref="B45:I45"/>
    <mergeCell ref="G27:I27"/>
    <mergeCell ref="F41:I41"/>
    <mergeCell ref="H40:I40"/>
    <mergeCell ref="G36:I36"/>
    <mergeCell ref="L2:P2"/>
    <mergeCell ref="G30:I30"/>
    <mergeCell ref="L13:Q13"/>
    <mergeCell ref="L5:Q5"/>
    <mergeCell ref="G23:I23"/>
    <mergeCell ref="L3:Q3"/>
    <mergeCell ref="L4:Q4"/>
    <mergeCell ref="L23:Q23"/>
    <mergeCell ref="O7:Q7"/>
    <mergeCell ref="O8:Q8"/>
  </mergeCells>
  <conditionalFormatting sqref="F39">
    <cfRule type="cellIs" priority="1" dxfId="23" operator="equal" stopIfTrue="1">
      <formula>"not avail."</formula>
    </cfRule>
    <cfRule type="cellIs" priority="2" dxfId="7" operator="greaterThanOrEqual" stopIfTrue="1">
      <formula>0.03</formula>
    </cfRule>
    <cfRule type="cellIs" priority="3" dxfId="31" operator="lessThan" stopIfTrue="1">
      <formula>0.03</formula>
    </cfRule>
  </conditionalFormatting>
  <conditionalFormatting sqref="E18">
    <cfRule type="cellIs" priority="25" dxfId="28" operator="equal" stopIfTrue="1">
      <formula>"Good, trend is down.  This is especially good if this bank is down and the industry is up"</formula>
    </cfRule>
    <cfRule type="cellIs" priority="26" dxfId="27" operator="equal" stopIfTrue="1">
      <formula>"Caution, trend is up.  Is this industry wide or bank specific?"</formula>
    </cfRule>
  </conditionalFormatting>
  <conditionalFormatting sqref="F16:F17">
    <cfRule type="cellIs" priority="1" dxfId="11" operator="greaterThan" stopIfTrue="1">
      <formula>0.01</formula>
    </cfRule>
    <cfRule type="cellIs" priority="2" dxfId="5" operator="between" stopIfTrue="1">
      <formula>0.04</formula>
      <formula>0.07</formula>
    </cfRule>
    <cfRule type="cellIs" priority="3" dxfId="7" operator="lessThan" stopIfTrue="1">
      <formula>0.04</formula>
    </cfRule>
  </conditionalFormatting>
  <conditionalFormatting sqref="F20">
    <cfRule type="cellIs" priority="4" dxfId="6" operator="lessThan" stopIfTrue="1">
      <formula>#REF!</formula>
    </cfRule>
    <cfRule type="cellIs" priority="5" dxfId="7" operator="greaterThan" stopIfTrue="1">
      <formula>#REF!</formula>
    </cfRule>
  </conditionalFormatting>
  <conditionalFormatting sqref="F4">
    <cfRule type="cellIs" priority="15" dxfId="11" operator="greaterThan" stopIfTrue="1">
      <formula>0.6</formula>
    </cfRule>
    <cfRule type="cellIs" priority="16" dxfId="7" operator="lessThan" stopIfTrue="1">
      <formula>0.55</formula>
    </cfRule>
    <cfRule type="cellIs" priority="17" dxfId="5" operator="between" stopIfTrue="1">
      <formula>0.55</formula>
      <formula>0.6</formula>
    </cfRule>
  </conditionalFormatting>
  <conditionalFormatting sqref="F13">
    <cfRule type="cellIs" priority="20" dxfId="7" operator="greaterThan" stopIfTrue="1">
      <formula>0.1</formula>
    </cfRule>
    <cfRule type="cellIs" priority="21" dxfId="6" operator="lessThan" stopIfTrue="1">
      <formula>0.08</formula>
    </cfRule>
    <cfRule type="cellIs" priority="22" dxfId="5" operator="between" stopIfTrue="1">
      <formula>0.08</formula>
      <formula>0.1</formula>
    </cfRule>
  </conditionalFormatting>
  <conditionalFormatting sqref="F10">
    <cfRule type="cellIs" priority="17" dxfId="6" operator="lessThan" stopIfTrue="1">
      <formula>0.05</formula>
    </cfRule>
    <cfRule type="cellIs" priority="18" dxfId="7" operator="greaterThanOrEqual" stopIfTrue="1">
      <formula>0.05</formula>
    </cfRule>
  </conditionalFormatting>
  <conditionalFormatting sqref="F7">
    <cfRule type="cellIs" priority="19" dxfId="7" operator="greaterThan" stopIfTrue="1">
      <formula>0.01</formula>
    </cfRule>
    <cfRule type="cellIs" priority="20" dxfId="11" operator="lessThan" stopIfTrue="1">
      <formula>0.01</formula>
    </cfRule>
  </conditionalFormatting>
  <conditionalFormatting sqref="D21:E22 D25:E25">
    <cfRule type="cellIs" priority="63" dxfId="4" operator="equal" stopIfTrue="1">
      <formula>"provision for loan losses is less than the increase in loans-good"</formula>
    </cfRule>
    <cfRule type="cellIs" priority="64" dxfId="3" operator="equal" stopIfTrue="1">
      <formula>"caution, provision for loan losses is greater than the increase in loans"</formula>
    </cfRule>
  </conditionalFormatting>
  <conditionalFormatting sqref="F23">
    <cfRule type="cellIs" priority="23" dxfId="23" operator="equal" stopIfTrue="1">
      <formula>"not avail."</formula>
    </cfRule>
    <cfRule type="cellIs" priority="24" dxfId="6" operator="lessThan" stopIfTrue="1">
      <formula>100</formula>
    </cfRule>
    <cfRule type="cellIs" priority="25" dxfId="7" operator="greaterThanOrEqual" stopIfTrue="1">
      <formula>100</formula>
    </cfRule>
  </conditionalFormatting>
  <conditionalFormatting sqref="F27">
    <cfRule type="cellIs" priority="26" dxfId="23" operator="equal" stopIfTrue="1">
      <formula>"not avail."</formula>
    </cfRule>
    <cfRule type="cellIs" priority="27" dxfId="7" operator="greaterThanOrEqual" stopIfTrue="1">
      <formula>0.05</formula>
    </cfRule>
    <cfRule type="cellIs" priority="28" dxfId="6" operator="lessThan" stopIfTrue="1">
      <formula>0.05</formula>
    </cfRule>
  </conditionalFormatting>
  <hyperlinks>
    <hyperlink ref="L2:N2" r:id="rId1" display="Click here to go to the Bankrate Site. Enter the bank's name in the &quot;Search By Name&quot; box"/>
  </hyperlinks>
  <printOptions horizontalCentered="1"/>
  <pageMargins left="0.5" right="0.5" top="0.3" bottom="0.25" header="0" footer="0"/>
  <pageSetup fitToHeight="1" fitToWidth="1" horizontalDpi="300" verticalDpi="300" orientation="landscape" scale="72" r:id="rId5"/>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F229"/>
  <sheetViews>
    <sheetView zoomScalePageLayoutView="0" workbookViewId="0" topLeftCell="A208">
      <selection activeCell="A240" sqref="A240"/>
    </sheetView>
  </sheetViews>
  <sheetFormatPr defaultColWidth="9.140625" defaultRowHeight="12.75"/>
  <cols>
    <col min="1" max="1" width="41.8515625" style="0" customWidth="1"/>
    <col min="2" max="2" width="29.28125" style="0" customWidth="1"/>
    <col min="3" max="4" width="12.7109375" style="0" customWidth="1"/>
    <col min="5" max="5" width="10.00390625" style="0" bestFit="1" customWidth="1"/>
  </cols>
  <sheetData>
    <row r="1" spans="1:2" ht="12.75">
      <c r="A1" s="82">
        <f>'Bank Analysis'!N7</f>
        <v>852218</v>
      </c>
      <c r="B1" s="79" t="s">
        <v>89</v>
      </c>
    </row>
    <row r="2" ht="12.75">
      <c r="A2" t="s">
        <v>311</v>
      </c>
    </row>
    <row r="3" ht="12.75">
      <c r="A3" t="s">
        <v>312</v>
      </c>
    </row>
    <row r="5" ht="12.75">
      <c r="B5" t="s">
        <v>313</v>
      </c>
    </row>
    <row r="6" ht="12.75">
      <c r="B6" t="s">
        <v>314</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94</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110</v>
      </c>
    </row>
    <row r="31" ht="12.75">
      <c r="A31" t="s">
        <v>111</v>
      </c>
    </row>
    <row r="32" ht="12.75">
      <c r="A32" t="s">
        <v>112</v>
      </c>
    </row>
    <row r="33" ht="12.75">
      <c r="A33" t="s">
        <v>113</v>
      </c>
    </row>
    <row r="34" ht="12.75">
      <c r="A34" t="s">
        <v>114</v>
      </c>
    </row>
    <row r="35" ht="12.75">
      <c r="A35" t="s">
        <v>115</v>
      </c>
    </row>
    <row r="36" ht="12.75">
      <c r="A36" t="s">
        <v>116</v>
      </c>
    </row>
    <row r="37" ht="12.75">
      <c r="A37" t="s">
        <v>117</v>
      </c>
    </row>
    <row r="38" ht="12.75">
      <c r="A38" t="s">
        <v>100</v>
      </c>
    </row>
    <row r="39" ht="12.75">
      <c r="A39" t="s">
        <v>118</v>
      </c>
    </row>
    <row r="40" ht="12.75">
      <c r="A40" t="s">
        <v>119</v>
      </c>
    </row>
    <row r="41" ht="12.75">
      <c r="A41" t="s">
        <v>120</v>
      </c>
    </row>
    <row r="42" ht="12.75">
      <c r="A42" t="s">
        <v>121</v>
      </c>
    </row>
    <row r="43" ht="12.75">
      <c r="A43" t="s">
        <v>107</v>
      </c>
    </row>
    <row r="44" ht="12.75">
      <c r="A44" t="s">
        <v>122</v>
      </c>
    </row>
    <row r="45" ht="12.75">
      <c r="A45" t="s">
        <v>112</v>
      </c>
    </row>
    <row r="46" ht="12.75">
      <c r="A46" t="s">
        <v>123</v>
      </c>
    </row>
    <row r="47" ht="12.75">
      <c r="A47" t="s">
        <v>124</v>
      </c>
    </row>
    <row r="48" ht="12.75">
      <c r="A48" t="s">
        <v>125</v>
      </c>
    </row>
    <row r="49" ht="12.75">
      <c r="A49" s="100" t="s">
        <v>126</v>
      </c>
    </row>
    <row r="50" ht="12.75">
      <c r="A50" t="s">
        <v>127</v>
      </c>
    </row>
    <row r="51" ht="12.75">
      <c r="A51" t="s">
        <v>128</v>
      </c>
    </row>
    <row r="53" ht="12.75">
      <c r="A53" t="s">
        <v>129</v>
      </c>
    </row>
    <row r="55" ht="12.75">
      <c r="A55" s="94" t="s">
        <v>343</v>
      </c>
    </row>
    <row r="56" ht="12.75">
      <c r="A56" t="s">
        <v>344</v>
      </c>
    </row>
    <row r="57" ht="12.75">
      <c r="A57" t="s">
        <v>345</v>
      </c>
    </row>
    <row r="59" ht="12.75">
      <c r="A59" t="s">
        <v>346</v>
      </c>
    </row>
    <row r="60" ht="12.75">
      <c r="A60" t="s">
        <v>338</v>
      </c>
    </row>
    <row r="61" ht="12.75">
      <c r="A61" t="s">
        <v>318</v>
      </c>
    </row>
    <row r="62" ht="12.75">
      <c r="A62" t="s">
        <v>347</v>
      </c>
    </row>
    <row r="64" spans="2:4" ht="12.75">
      <c r="B64" s="77"/>
      <c r="C64" s="77"/>
      <c r="D64" s="77"/>
    </row>
    <row r="65" spans="2:4" ht="12.75">
      <c r="B65" s="78"/>
      <c r="C65" s="78"/>
      <c r="D65" s="78"/>
    </row>
    <row r="66" spans="2:4" ht="12.75">
      <c r="B66" s="78"/>
      <c r="C66" s="78"/>
      <c r="D66" s="78"/>
    </row>
    <row r="67" spans="1:4" ht="12.75">
      <c r="A67" t="s">
        <v>130</v>
      </c>
      <c r="B67" s="78"/>
      <c r="C67" s="78"/>
      <c r="D67" s="78"/>
    </row>
    <row r="68" spans="2:4" ht="12.75">
      <c r="B68" s="78">
        <v>2010</v>
      </c>
      <c r="C68" s="78">
        <v>2009</v>
      </c>
      <c r="D68" s="78">
        <v>2008</v>
      </c>
    </row>
    <row r="69" spans="2:4" ht="12.75">
      <c r="B69" s="78" t="s">
        <v>319</v>
      </c>
      <c r="C69" s="78" t="s">
        <v>131</v>
      </c>
      <c r="D69" s="78" t="s">
        <v>131</v>
      </c>
    </row>
    <row r="70" spans="1:5" ht="12.75">
      <c r="A70" t="s">
        <v>132</v>
      </c>
      <c r="B70" s="78">
        <v>1642691000</v>
      </c>
      <c r="C70" s="78">
        <v>1627684000</v>
      </c>
      <c r="D70" s="78">
        <v>1746242000</v>
      </c>
      <c r="E70" s="78"/>
    </row>
    <row r="71" spans="1:4" ht="12.75">
      <c r="A71" t="s">
        <v>133</v>
      </c>
      <c r="B71" s="78">
        <v>536519000</v>
      </c>
      <c r="C71" s="78">
        <v>531150000</v>
      </c>
      <c r="D71" s="78">
        <v>633262000</v>
      </c>
    </row>
    <row r="72" spans="1:4" ht="12.75">
      <c r="A72" t="s">
        <v>134</v>
      </c>
      <c r="B72" s="78">
        <v>193680000</v>
      </c>
      <c r="C72" s="78">
        <v>187279000</v>
      </c>
      <c r="D72" s="78">
        <v>130328000</v>
      </c>
    </row>
    <row r="73" spans="1:4" ht="12.75">
      <c r="A73" t="s">
        <v>104</v>
      </c>
      <c r="B73" s="78">
        <v>137895000</v>
      </c>
      <c r="C73" s="78">
        <v>157944000</v>
      </c>
      <c r="D73" s="78">
        <v>52264000</v>
      </c>
    </row>
    <row r="74" spans="1:4" ht="12.75">
      <c r="A74" t="s">
        <v>135</v>
      </c>
      <c r="B74" s="78">
        <v>984210000</v>
      </c>
      <c r="C74" s="78">
        <v>1024036000</v>
      </c>
      <c r="D74" s="78">
        <v>1055765000</v>
      </c>
    </row>
    <row r="75" spans="1:4" ht="12.75">
      <c r="A75" t="s">
        <v>136</v>
      </c>
      <c r="B75" s="78">
        <v>294803000</v>
      </c>
      <c r="C75" s="78">
        <v>286091000</v>
      </c>
      <c r="D75" s="78">
        <v>323311000</v>
      </c>
    </row>
    <row r="76" spans="1:4" ht="12.75">
      <c r="A76" t="s">
        <v>102</v>
      </c>
      <c r="B76" s="78">
        <v>132170000</v>
      </c>
      <c r="C76" s="78">
        <v>127294000</v>
      </c>
      <c r="D76" s="78">
        <v>128767000</v>
      </c>
    </row>
    <row r="77" spans="1:4" ht="12.75">
      <c r="A77" t="s">
        <v>137</v>
      </c>
      <c r="B77" s="78">
        <v>27406000</v>
      </c>
      <c r="C77" s="78">
        <v>39740000</v>
      </c>
      <c r="D77" s="78">
        <v>31645000</v>
      </c>
    </row>
    <row r="78" spans="1:4" ht="12.75">
      <c r="A78" t="s">
        <v>138</v>
      </c>
      <c r="B78" s="78">
        <v>7115000</v>
      </c>
      <c r="C78" s="78">
        <v>11708000</v>
      </c>
      <c r="D78" s="78">
        <v>31773000</v>
      </c>
    </row>
    <row r="79" spans="1:4" ht="12.75">
      <c r="A79" t="s">
        <v>139</v>
      </c>
      <c r="B79" s="78">
        <v>36555000</v>
      </c>
      <c r="C79" s="78">
        <v>43840000</v>
      </c>
      <c r="D79" s="78">
        <v>37023000</v>
      </c>
    </row>
    <row r="80" spans="1:4" ht="12.75">
      <c r="A80" t="s">
        <v>140</v>
      </c>
      <c r="B80" s="78">
        <v>12603000</v>
      </c>
      <c r="C80" s="78">
        <v>11935000</v>
      </c>
      <c r="D80" s="78">
        <v>11224000</v>
      </c>
    </row>
    <row r="81" spans="1:4" ht="12.75">
      <c r="A81" t="s">
        <v>51</v>
      </c>
      <c r="B81" s="78">
        <v>9240000</v>
      </c>
      <c r="C81" s="78">
        <v>8422000</v>
      </c>
      <c r="D81" s="78">
        <v>10419000</v>
      </c>
    </row>
    <row r="82" spans="1:4" ht="12.75">
      <c r="A82" t="s">
        <v>141</v>
      </c>
      <c r="B82" t="s">
        <v>142</v>
      </c>
      <c r="C82" t="s">
        <v>142</v>
      </c>
      <c r="D82" t="s">
        <v>142</v>
      </c>
    </row>
    <row r="83" spans="1:4" ht="12.75">
      <c r="A83" t="s">
        <v>320</v>
      </c>
      <c r="B83">
        <v>0.68</v>
      </c>
      <c r="C83">
        <v>0.5</v>
      </c>
      <c r="D83">
        <v>0.6</v>
      </c>
    </row>
    <row r="84" spans="1:4" ht="12.75">
      <c r="A84" t="s">
        <v>321</v>
      </c>
      <c r="B84">
        <v>0.92</v>
      </c>
      <c r="C84">
        <v>0.71</v>
      </c>
      <c r="D84">
        <v>0.64</v>
      </c>
    </row>
    <row r="85" spans="1:4" ht="12.75">
      <c r="A85" t="s">
        <v>322</v>
      </c>
      <c r="B85">
        <v>8.59</v>
      </c>
      <c r="C85">
        <v>6.52</v>
      </c>
      <c r="D85">
        <v>8.83</v>
      </c>
    </row>
    <row r="86" spans="1:4" ht="12.75">
      <c r="A86" t="s">
        <v>323</v>
      </c>
      <c r="B86">
        <v>2.55</v>
      </c>
      <c r="C86">
        <v>2.67</v>
      </c>
      <c r="D86">
        <v>3.11</v>
      </c>
    </row>
    <row r="87" spans="1:4" ht="12.75">
      <c r="A87" t="s">
        <v>324</v>
      </c>
      <c r="B87">
        <v>0.62</v>
      </c>
      <c r="C87">
        <v>0.7</v>
      </c>
      <c r="D87">
        <v>1.82</v>
      </c>
    </row>
    <row r="88" spans="1:4" ht="12.75">
      <c r="A88" t="s">
        <v>325</v>
      </c>
      <c r="B88">
        <v>2.85</v>
      </c>
      <c r="C88">
        <v>2.64</v>
      </c>
      <c r="D88">
        <v>2.12</v>
      </c>
    </row>
    <row r="89" spans="1:3" ht="12.75">
      <c r="A89" t="s">
        <v>144</v>
      </c>
      <c r="B89">
        <v>0.675406</v>
      </c>
      <c r="C89">
        <v>0.570543</v>
      </c>
    </row>
    <row r="90" spans="1:4" ht="12.75">
      <c r="A90" t="s">
        <v>145</v>
      </c>
      <c r="B90" t="s">
        <v>142</v>
      </c>
      <c r="C90" t="s">
        <v>142</v>
      </c>
      <c r="D90" t="s">
        <v>142</v>
      </c>
    </row>
    <row r="91" spans="1:4" ht="12.75">
      <c r="A91" t="s">
        <v>146</v>
      </c>
      <c r="B91">
        <v>2.08</v>
      </c>
      <c r="C91">
        <v>2.32</v>
      </c>
      <c r="D91">
        <v>1.34</v>
      </c>
    </row>
    <row r="92" spans="1:4" ht="12.75">
      <c r="A92" t="s">
        <v>147</v>
      </c>
      <c r="B92">
        <v>22.1</v>
      </c>
      <c r="C92">
        <v>25.01</v>
      </c>
      <c r="D92">
        <v>16.07</v>
      </c>
    </row>
    <row r="93" spans="1:4" ht="12.75">
      <c r="A93" t="s">
        <v>148</v>
      </c>
      <c r="B93">
        <v>4.16</v>
      </c>
      <c r="C93">
        <v>4.47</v>
      </c>
      <c r="D93">
        <v>2.71</v>
      </c>
    </row>
    <row r="94" spans="1:4" ht="12.75">
      <c r="A94" t="s">
        <v>149</v>
      </c>
      <c r="B94">
        <v>26.6</v>
      </c>
      <c r="C94">
        <v>27.48</v>
      </c>
      <c r="D94">
        <v>24.6</v>
      </c>
    </row>
    <row r="95" spans="1:4" ht="12.75">
      <c r="A95" t="s">
        <v>150</v>
      </c>
      <c r="B95">
        <v>3.51</v>
      </c>
      <c r="C95">
        <v>3.43</v>
      </c>
      <c r="D95">
        <v>3.23</v>
      </c>
    </row>
    <row r="96" spans="1:4" ht="12.75">
      <c r="A96" t="s">
        <v>151</v>
      </c>
      <c r="B96">
        <v>0.33</v>
      </c>
      <c r="C96">
        <v>0.46</v>
      </c>
      <c r="D96">
        <v>0.6</v>
      </c>
    </row>
    <row r="97" spans="1:4" ht="12.75">
      <c r="A97" t="s">
        <v>152</v>
      </c>
      <c r="B97">
        <v>5.73</v>
      </c>
      <c r="C97">
        <v>6.38</v>
      </c>
      <c r="D97">
        <v>8.06</v>
      </c>
    </row>
    <row r="98" spans="1:4" ht="12.75">
      <c r="A98" t="s">
        <v>153</v>
      </c>
      <c r="B98">
        <v>4.67</v>
      </c>
      <c r="C98">
        <v>4.56</v>
      </c>
      <c r="D98">
        <v>4.78</v>
      </c>
    </row>
    <row r="99" spans="1:4" ht="12.75">
      <c r="A99" t="s">
        <v>154</v>
      </c>
      <c r="B99" t="s">
        <v>142</v>
      </c>
      <c r="C99" t="s">
        <v>142</v>
      </c>
      <c r="D99" t="s">
        <v>142</v>
      </c>
    </row>
    <row r="100" spans="1:4" ht="12.75">
      <c r="A100" t="s">
        <v>155</v>
      </c>
      <c r="B100">
        <v>8.05</v>
      </c>
      <c r="C100">
        <v>7.82</v>
      </c>
      <c r="D100">
        <v>7.37</v>
      </c>
    </row>
    <row r="101" spans="1:4" ht="12.75">
      <c r="A101" t="s">
        <v>156</v>
      </c>
      <c r="B101">
        <v>5.78</v>
      </c>
      <c r="C101">
        <v>5.15</v>
      </c>
      <c r="D101">
        <v>5.2</v>
      </c>
    </row>
    <row r="102" spans="1:4" ht="12.75">
      <c r="A102" s="41" t="s">
        <v>157</v>
      </c>
      <c r="B102">
        <v>14.27</v>
      </c>
      <c r="C102">
        <v>13.5</v>
      </c>
      <c r="D102">
        <v>12.31</v>
      </c>
    </row>
    <row r="103" spans="1:4" ht="12.75">
      <c r="A103" t="s">
        <v>158</v>
      </c>
      <c r="B103" t="s">
        <v>142</v>
      </c>
      <c r="C103" t="s">
        <v>142</v>
      </c>
      <c r="D103" t="s">
        <v>142</v>
      </c>
    </row>
    <row r="104" spans="1:4" ht="12.75">
      <c r="A104" t="s">
        <v>159</v>
      </c>
      <c r="B104">
        <v>54.51</v>
      </c>
      <c r="C104">
        <v>51.87</v>
      </c>
      <c r="D104">
        <v>59.98</v>
      </c>
    </row>
    <row r="105" spans="1:4" ht="12.75">
      <c r="A105" t="s">
        <v>160</v>
      </c>
      <c r="B105">
        <v>22.52</v>
      </c>
      <c r="C105">
        <v>20.09</v>
      </c>
      <c r="D105">
        <v>20.95</v>
      </c>
    </row>
    <row r="106" spans="1:4" ht="12.75">
      <c r="A106" t="s">
        <v>161</v>
      </c>
      <c r="B106">
        <v>42.38</v>
      </c>
      <c r="C106">
        <v>46.79</v>
      </c>
      <c r="D106">
        <v>46.85</v>
      </c>
    </row>
    <row r="108" spans="1:5" ht="12.75">
      <c r="A108" t="s">
        <v>326</v>
      </c>
      <c r="C108" s="41"/>
      <c r="E108" s="41"/>
    </row>
    <row r="109" spans="1:5" ht="12.75">
      <c r="A109" t="s">
        <v>327</v>
      </c>
      <c r="C109" s="41"/>
      <c r="E109" s="41"/>
    </row>
    <row r="110" spans="1:5" ht="12.75">
      <c r="A110" t="s">
        <v>162</v>
      </c>
      <c r="C110" s="41"/>
      <c r="E110" s="41"/>
    </row>
    <row r="111" spans="1:5" ht="12.75">
      <c r="A111" t="s">
        <v>163</v>
      </c>
      <c r="C111" s="41"/>
      <c r="E111" s="41"/>
    </row>
    <row r="112" ht="12.75">
      <c r="A112" t="s">
        <v>164</v>
      </c>
    </row>
    <row r="113" ht="12.75">
      <c r="A113" t="s">
        <v>165</v>
      </c>
    </row>
    <row r="114" ht="12.75">
      <c r="A114" t="s">
        <v>166</v>
      </c>
    </row>
    <row r="115" ht="12.75">
      <c r="A115" t="s">
        <v>167</v>
      </c>
    </row>
    <row r="116" ht="12.75">
      <c r="A116" t="s">
        <v>168</v>
      </c>
    </row>
    <row r="117" ht="12.75">
      <c r="A117" t="s">
        <v>169</v>
      </c>
    </row>
    <row r="118" ht="12.75">
      <c r="A118" t="s">
        <v>170</v>
      </c>
    </row>
    <row r="119" ht="12.75">
      <c r="A119" t="s">
        <v>171</v>
      </c>
    </row>
    <row r="120" ht="12.75">
      <c r="A120" t="s">
        <v>172</v>
      </c>
    </row>
    <row r="121" ht="12.75">
      <c r="A121" t="s">
        <v>173</v>
      </c>
    </row>
    <row r="122" ht="12.75">
      <c r="A122" t="s">
        <v>174</v>
      </c>
    </row>
    <row r="123" ht="12.75">
      <c r="A123" t="s">
        <v>175</v>
      </c>
    </row>
    <row r="124" ht="12.75">
      <c r="A124" t="s">
        <v>176</v>
      </c>
    </row>
    <row r="125" ht="12.75">
      <c r="A125" t="s">
        <v>177</v>
      </c>
    </row>
    <row r="126" ht="12.75">
      <c r="A126" t="s">
        <v>178</v>
      </c>
    </row>
    <row r="127" ht="12.75">
      <c r="A127" t="s">
        <v>179</v>
      </c>
    </row>
    <row r="128" ht="12.75">
      <c r="A128" t="s">
        <v>180</v>
      </c>
    </row>
    <row r="129" ht="12.75">
      <c r="A129" t="s">
        <v>181</v>
      </c>
    </row>
    <row r="130" ht="12.75">
      <c r="A130" t="s">
        <v>182</v>
      </c>
    </row>
    <row r="131" ht="12.75">
      <c r="A131" t="s">
        <v>183</v>
      </c>
    </row>
    <row r="132" ht="12.75">
      <c r="A132" t="s">
        <v>184</v>
      </c>
    </row>
    <row r="133" ht="12.75">
      <c r="A133" t="s">
        <v>185</v>
      </c>
    </row>
    <row r="134" ht="12.75">
      <c r="A134" t="s">
        <v>186</v>
      </c>
    </row>
    <row r="135" ht="12.75">
      <c r="A135" t="s">
        <v>187</v>
      </c>
    </row>
    <row r="136" ht="12.75">
      <c r="A136" t="s">
        <v>188</v>
      </c>
    </row>
    <row r="137" spans="1:2" ht="12.75">
      <c r="A137" t="s">
        <v>189</v>
      </c>
      <c r="B137" t="s">
        <v>190</v>
      </c>
    </row>
    <row r="138" ht="12.75">
      <c r="A138" t="s">
        <v>191</v>
      </c>
    </row>
    <row r="139" ht="12.75">
      <c r="A139" t="s">
        <v>192</v>
      </c>
    </row>
    <row r="140" ht="12.75">
      <c r="A140" t="s">
        <v>193</v>
      </c>
    </row>
    <row r="141" ht="12.75">
      <c r="A141" t="s">
        <v>194</v>
      </c>
    </row>
    <row r="142" ht="12.75">
      <c r="A142" s="41" t="s">
        <v>195</v>
      </c>
    </row>
    <row r="143" ht="12.75">
      <c r="A143" t="s">
        <v>196</v>
      </c>
    </row>
    <row r="144" ht="12.75">
      <c r="A144" t="s">
        <v>197</v>
      </c>
    </row>
    <row r="145" ht="12.75">
      <c r="A145" t="s">
        <v>194</v>
      </c>
    </row>
    <row r="146" ht="12.75">
      <c r="A146" t="s">
        <v>198</v>
      </c>
    </row>
    <row r="147" ht="12.75">
      <c r="A147" t="s">
        <v>126</v>
      </c>
    </row>
    <row r="148" spans="1:5" ht="12.75">
      <c r="A148" s="41" t="s">
        <v>199</v>
      </c>
      <c r="C148" s="41"/>
      <c r="E148" s="41"/>
    </row>
    <row r="149" spans="1:5" ht="12.75">
      <c r="A149" t="s">
        <v>200</v>
      </c>
      <c r="C149" s="41"/>
      <c r="E149" s="41"/>
    </row>
    <row r="150" spans="1:5" ht="12.75">
      <c r="A150" t="s">
        <v>201</v>
      </c>
      <c r="C150" s="41" t="s">
        <v>202</v>
      </c>
      <c r="D150" t="s">
        <v>203</v>
      </c>
      <c r="E150" s="41" t="s">
        <v>204</v>
      </c>
    </row>
    <row r="151" spans="1:5" ht="12.75">
      <c r="A151" t="s">
        <v>205</v>
      </c>
      <c r="C151" s="41">
        <v>0.0073</v>
      </c>
      <c r="E151" s="41">
        <v>0.0075</v>
      </c>
    </row>
    <row r="152" spans="1:5" ht="12.75">
      <c r="A152" t="s">
        <v>206</v>
      </c>
      <c r="C152" s="41">
        <v>0.0112</v>
      </c>
      <c r="E152" s="41">
        <v>0.0113</v>
      </c>
    </row>
    <row r="153" spans="1:5" ht="12.75">
      <c r="A153" t="s">
        <v>207</v>
      </c>
      <c r="C153" s="41">
        <v>0.0228</v>
      </c>
      <c r="E153" s="41">
        <v>0.0229</v>
      </c>
    </row>
    <row r="154" spans="1:5" ht="12.75">
      <c r="A154" t="s">
        <v>208</v>
      </c>
      <c r="C154" s="41">
        <v>0.0097</v>
      </c>
      <c r="E154" s="41">
        <v>0.0098</v>
      </c>
    </row>
    <row r="155" spans="1:5" ht="12.75">
      <c r="A155" t="s">
        <v>209</v>
      </c>
      <c r="C155" s="41"/>
      <c r="E155" s="41"/>
    </row>
    <row r="156" spans="1:5" ht="12.75">
      <c r="A156" t="s">
        <v>328</v>
      </c>
      <c r="C156" s="41"/>
      <c r="E156" s="41"/>
    </row>
    <row r="157" spans="1:5" ht="12.75">
      <c r="A157" t="s">
        <v>210</v>
      </c>
      <c r="C157" s="41"/>
      <c r="E157" s="41"/>
    </row>
    <row r="158" ht="12.75">
      <c r="A158" t="s">
        <v>211</v>
      </c>
    </row>
    <row r="159" ht="12.75">
      <c r="A159" t="s">
        <v>329</v>
      </c>
    </row>
    <row r="160" ht="12.75">
      <c r="A160" t="s">
        <v>330</v>
      </c>
    </row>
    <row r="161" ht="12.75">
      <c r="A161" t="s">
        <v>212</v>
      </c>
    </row>
    <row r="162" ht="12.75">
      <c r="A162" t="s">
        <v>315</v>
      </c>
    </row>
    <row r="163" ht="12.75">
      <c r="A163" t="s">
        <v>316</v>
      </c>
    </row>
    <row r="164" ht="12.75">
      <c r="A164" t="s">
        <v>126</v>
      </c>
    </row>
    <row r="165" ht="12.75">
      <c r="A165" t="s">
        <v>331</v>
      </c>
    </row>
    <row r="166" ht="12.75">
      <c r="A166" t="s">
        <v>332</v>
      </c>
    </row>
    <row r="167" ht="12.75">
      <c r="A167" t="s">
        <v>336</v>
      </c>
    </row>
    <row r="168" ht="12.75">
      <c r="A168" t="s">
        <v>337</v>
      </c>
    </row>
    <row r="169" ht="12.75">
      <c r="A169" t="s">
        <v>333</v>
      </c>
    </row>
    <row r="170" ht="12.75">
      <c r="A170" t="s">
        <v>213</v>
      </c>
    </row>
    <row r="171" ht="12.75">
      <c r="A171" t="s">
        <v>214</v>
      </c>
    </row>
    <row r="172" ht="12.75">
      <c r="A172" t="s">
        <v>215</v>
      </c>
    </row>
    <row r="173" ht="12.75">
      <c r="A173" t="s">
        <v>216</v>
      </c>
    </row>
    <row r="174" ht="12.75">
      <c r="A174" t="s">
        <v>126</v>
      </c>
    </row>
    <row r="175" ht="12.75">
      <c r="A175" t="s">
        <v>217</v>
      </c>
    </row>
    <row r="176" ht="12.75">
      <c r="A176" t="s">
        <v>218</v>
      </c>
    </row>
    <row r="177" ht="12.75">
      <c r="A177" t="s">
        <v>219</v>
      </c>
    </row>
    <row r="178" ht="12.75">
      <c r="A178" t="s">
        <v>220</v>
      </c>
    </row>
    <row r="179" ht="12.75">
      <c r="A179" t="s">
        <v>221</v>
      </c>
    </row>
    <row r="180" ht="12.75">
      <c r="A180" t="s">
        <v>222</v>
      </c>
    </row>
    <row r="181" ht="12.75">
      <c r="A181" t="s">
        <v>126</v>
      </c>
    </row>
    <row r="182" ht="12.75">
      <c r="A182" t="s">
        <v>223</v>
      </c>
    </row>
    <row r="183" ht="12.75">
      <c r="A183" t="s">
        <v>224</v>
      </c>
    </row>
    <row r="184" ht="12.75">
      <c r="A184" t="s">
        <v>225</v>
      </c>
    </row>
    <row r="185" ht="12.75">
      <c r="A185" t="s">
        <v>226</v>
      </c>
    </row>
    <row r="186" ht="12.75">
      <c r="A186" t="s">
        <v>227</v>
      </c>
    </row>
    <row r="187" ht="12.75">
      <c r="A187" t="s">
        <v>228</v>
      </c>
    </row>
    <row r="188" ht="12.75">
      <c r="A188" t="s">
        <v>229</v>
      </c>
    </row>
    <row r="189" ht="12.75">
      <c r="A189" t="s">
        <v>230</v>
      </c>
    </row>
    <row r="190" ht="12.75">
      <c r="A190" t="s">
        <v>231</v>
      </c>
    </row>
    <row r="191" ht="12.75">
      <c r="A191" t="s">
        <v>232</v>
      </c>
    </row>
    <row r="192" ht="12.75">
      <c r="A192" t="s">
        <v>334</v>
      </c>
    </row>
    <row r="193" ht="12.75">
      <c r="A193" t="s">
        <v>233</v>
      </c>
    </row>
    <row r="194" ht="12.75">
      <c r="A194" t="s">
        <v>234</v>
      </c>
    </row>
    <row r="198" spans="1:5" ht="12.75">
      <c r="A198" s="94"/>
      <c r="B198" s="94"/>
      <c r="C198" s="94"/>
      <c r="D198" s="94"/>
      <c r="E198" s="94"/>
    </row>
    <row r="199" spans="3:6" ht="12.75">
      <c r="C199">
        <v>1</v>
      </c>
      <c r="D199" s="87" t="s">
        <v>41</v>
      </c>
      <c r="F199" s="94"/>
    </row>
    <row r="200" spans="3:4" ht="12.75">
      <c r="C200">
        <v>2</v>
      </c>
      <c r="D200" s="87" t="s">
        <v>42</v>
      </c>
    </row>
    <row r="201" spans="1:4" ht="12.75">
      <c r="A201" t="str">
        <f>INDEX($A$2:$E$199,MATCH("NET INTEREST INCOME",$A$2:$A$199,0),1)</f>
        <v>Net Interest Income</v>
      </c>
      <c r="B201">
        <f>INDEX($A$2:$E$199,MATCH("NET INTEREST INCOME",$A$2:$A$199,0),3)</f>
        <v>39740000</v>
      </c>
      <c r="C201">
        <v>3</v>
      </c>
      <c r="D201" s="88" t="s">
        <v>43</v>
      </c>
    </row>
    <row r="202" spans="2:4" ht="12.75">
      <c r="B202" s="78"/>
      <c r="C202">
        <v>4</v>
      </c>
      <c r="D202" s="87" t="s">
        <v>44</v>
      </c>
    </row>
    <row r="203" spans="2:4" ht="12.75">
      <c r="B203" s="78"/>
      <c r="D203" s="87" t="s">
        <v>46</v>
      </c>
    </row>
    <row r="204" spans="1:4" ht="12.75">
      <c r="A204" t="str">
        <f>INDEX($A$2:$E$199,MATCH("FEE INCOME",$A$2:$A$199,0),1)</f>
        <v>Fee Income</v>
      </c>
      <c r="B204">
        <f>INDEX($A$2:$E$199,MATCH("FEE INCOME",$A$2:$A$199,0),3)</f>
        <v>11708000</v>
      </c>
      <c r="C204">
        <v>5</v>
      </c>
      <c r="D204" s="87" t="s">
        <v>47</v>
      </c>
    </row>
    <row r="205" spans="2:4" ht="12.75">
      <c r="B205" s="78"/>
      <c r="C205">
        <v>6</v>
      </c>
      <c r="D205" s="87" t="s">
        <v>49</v>
      </c>
    </row>
    <row r="206" spans="1:4" ht="12.75">
      <c r="A206" t="str">
        <f>INDEX($A$2:$E$199,MATCH("NET INCOME",$A$2:$A$199,0),1)</f>
        <v>Net Income</v>
      </c>
      <c r="B206">
        <f>INDEX($A$2:$E$199,MATCH("NET INCOME",$A$2:$A$199,0),3)</f>
        <v>8422000</v>
      </c>
      <c r="D206" s="87" t="s">
        <v>51</v>
      </c>
    </row>
    <row r="207" spans="1:4" ht="12.75">
      <c r="A207" t="str">
        <f>INDEX($A$2:$E$199,MATCH("LOANS RECEIVABLE, NET",$A$2:$A$199,0),1)</f>
        <v>Loans Receivable, Net</v>
      </c>
      <c r="B207">
        <f>INDEX($A$2:$E$199,MATCH("LOANS RECEIVABLE, NET",$A$2:$A$199,0),3)</f>
        <v>531150000</v>
      </c>
      <c r="C207">
        <v>8</v>
      </c>
      <c r="D207" s="88" t="s">
        <v>55</v>
      </c>
    </row>
    <row r="208" spans="1:4" ht="12.75">
      <c r="A208" t="str">
        <f>INDEX($A$2:$E$199,MATCH("LOANS RECEIVABLE, NET",$A$2:$A$199,0),1)</f>
        <v>Loans Receivable, Net</v>
      </c>
      <c r="B208">
        <f>INDEX($A$2:$E$199,MATCH("LOANS RECEIVABLE, NET",$A$2:$A$199,0),4)</f>
        <v>633262000</v>
      </c>
      <c r="D208" s="88" t="s">
        <v>57</v>
      </c>
    </row>
    <row r="209" spans="1:4" ht="12.75">
      <c r="A209" t="str">
        <f>INDEX($A$2:$E$199,MATCH("TOTAL ASSETS",$A$2:$A$199,0),1)</f>
        <v>Total Assets</v>
      </c>
      <c r="B209" s="78">
        <f>INDEX($A$2:$E$199,MATCH("TOTAL ASSETS",$A$2:$A$199,0),3)</f>
        <v>1627684000</v>
      </c>
      <c r="C209">
        <v>9</v>
      </c>
      <c r="D209" s="87" t="s">
        <v>58</v>
      </c>
    </row>
    <row r="210" spans="1:4" ht="12.75">
      <c r="A210" t="str">
        <f>INDEX($A$2:$E$199,MATCH("TOTAL ASSETS",$A$2:$A$199,0),1)</f>
        <v>Total Assets</v>
      </c>
      <c r="B210" s="78">
        <f>INDEX($A$2:$E$199,MATCH("TOTAL ASSETS",$A$2:$A$199,0),4)</f>
        <v>1746242000</v>
      </c>
      <c r="D210" s="87" t="s">
        <v>60</v>
      </c>
    </row>
    <row r="211" spans="1:4" ht="12.75">
      <c r="A211" t="str">
        <f>INDEX($A$2:$E$199,MATCH("Equity",$A$2:$A$199,0),1)</f>
        <v>Equity</v>
      </c>
      <c r="B211">
        <f>INDEX($A$42:$E$199,MATCH("Equity",$A$42:$A$199,0),3)</f>
        <v>127294000</v>
      </c>
      <c r="C211">
        <v>10</v>
      </c>
      <c r="D211" s="87" t="s">
        <v>61</v>
      </c>
    </row>
    <row r="212" spans="1:4" ht="12.75">
      <c r="A212" t="str">
        <f>INDEX($A$2:$E$199,MATCH("equity",$A$2:$A$199,0),1)</f>
        <v>Equity</v>
      </c>
      <c r="B212">
        <f>INDEX($A$42:$E$199,MATCH("Equity",$A$42:$A$199,0),4)</f>
        <v>128767000</v>
      </c>
      <c r="D212" s="87" t="s">
        <v>62</v>
      </c>
    </row>
    <row r="213" spans="1:4" ht="11.25" customHeight="1">
      <c r="A213" t="e">
        <f>INDEX($A$2:$E$199,MATCH("NET INTEREST MARGIN",$A$2:$A$199,0),1)</f>
        <v>#N/A</v>
      </c>
      <c r="B213" t="e">
        <f>INDEX($A$2:$E$199,MATCH("NET INTEREST MARGIN",$A$2:$A$199,0),3)</f>
        <v>#N/A</v>
      </c>
      <c r="C213">
        <v>11</v>
      </c>
      <c r="D213" s="88" t="s">
        <v>65</v>
      </c>
    </row>
    <row r="214" spans="2:4" ht="12.75">
      <c r="B214" s="78"/>
      <c r="C214">
        <v>12</v>
      </c>
      <c r="D214" s="88" t="s">
        <v>67</v>
      </c>
    </row>
    <row r="215" spans="2:4" ht="12.75">
      <c r="B215" s="78"/>
      <c r="C215">
        <v>13</v>
      </c>
      <c r="D215" s="88" t="s">
        <v>78</v>
      </c>
    </row>
    <row r="216" spans="1:4" ht="12.75">
      <c r="A216" t="str">
        <f>INDEX($A$2:$E$199,MATCH("Loss Reserves / Loans",$A$2:$A$199,0),1)</f>
        <v>Loss Reserves / Loans</v>
      </c>
      <c r="B216">
        <f>INDEX($A$2:$E$199,MATCH("Loss Reserves / Loans",$A$2:$A$199,0),3)</f>
        <v>4.47</v>
      </c>
      <c r="C216" t="s">
        <v>11</v>
      </c>
      <c r="D216" s="88"/>
    </row>
    <row r="217" spans="1:4" ht="12.75">
      <c r="A217" t="str">
        <f>INDEX($A$2:$E$199,MATCH("Loss Reserves / Loans",$A$2:$A$199,0),1)</f>
        <v>Loss Reserves / Loans</v>
      </c>
      <c r="B217">
        <f>INDEX($A$2:$E$199,MATCH("Loss Reserves / Loans",$A$2:$A$199,0),4)</f>
        <v>2.71</v>
      </c>
      <c r="C217" t="s">
        <v>12</v>
      </c>
      <c r="D217" s="88"/>
    </row>
    <row r="218" spans="1:4" ht="12.75">
      <c r="A218" t="e">
        <f>INDEX($A$2:$E$199,MATCH("Return on Assets",$A$2:$A$199,0),1)</f>
        <v>#N/A</v>
      </c>
      <c r="B218" t="e">
        <f>INDEX($A$2:$E$199,MATCH("Return on Assets",$A$2:$A$199,0),3)</f>
        <v>#N/A</v>
      </c>
      <c r="D218" s="88"/>
    </row>
    <row r="219" spans="1:4" ht="12.75">
      <c r="A219" t="str">
        <f>INDEX($A$2:$E$199,MATCH("Efficiency Ratio",$A$2:$A$199,0),1)</f>
        <v>Efficiency Ratio</v>
      </c>
      <c r="B219">
        <f>INDEX($A$2:$E$199,MATCH("Efficiency Ratio",$A$2:$A$199,0),2)</f>
        <v>0.675406</v>
      </c>
      <c r="D219" s="88"/>
    </row>
    <row r="220" spans="1:4" ht="12.75">
      <c r="A220" t="str">
        <f>INDEX($A$2:$E$199,MATCH("Overhead",$A$2:$A$199,0),1)</f>
        <v>Overhead</v>
      </c>
      <c r="B220">
        <f>INDEX($A$2:$E$199,MATCH("Overhead",$A$2:$A$199,0),2)</f>
        <v>36555000</v>
      </c>
      <c r="D220" s="88"/>
    </row>
    <row r="221" ht="12.75">
      <c r="D221" s="88"/>
    </row>
    <row r="222" spans="2:4" ht="12.75">
      <c r="B222" s="92" t="s">
        <v>23</v>
      </c>
      <c r="D222" s="90"/>
    </row>
    <row r="223" spans="1:4" ht="12.75">
      <c r="A223" t="str">
        <f>INDEX($A$2:$E$199,MATCH("1-4 Fam Mtg + MBS / Assets",$A$2:$A$199,0),1)</f>
        <v>1-4 Fam Mtg + MBS / Assets</v>
      </c>
      <c r="B223" s="93">
        <f>INDEX($A$2:$E$199,MATCH("1-4 Fam Mtg + MBS / Assets",$A$2:$A$199,0),3)</f>
        <v>27.48</v>
      </c>
      <c r="D223" s="91" t="s">
        <v>87</v>
      </c>
    </row>
    <row r="224" spans="1:4" ht="12.75">
      <c r="A224" t="str">
        <f>INDEX($A$2:$E$199,MATCH("Commercial Real Estate Loans / Assets",$A$2:$A$199,0),1)</f>
        <v>Commercial Real Estate Loans / Assets</v>
      </c>
      <c r="B224" s="93">
        <f>INDEX($A$2:$E$199,MATCH("Commercial Real Estate Loans / Assets",$A$2:$A$199,0),3)</f>
        <v>3.43</v>
      </c>
      <c r="D224" s="91" t="s">
        <v>80</v>
      </c>
    </row>
    <row r="225" spans="1:4" ht="12.75">
      <c r="A225" t="str">
        <f>INDEX($A$2:$E$199,MATCH("Construction Loans / Assets",$A$2:$A$199,0),1)</f>
        <v>Construction Loans / Assets</v>
      </c>
      <c r="B225" s="93">
        <f>INDEX($A$2:$E$199,MATCH("Construction Loans / Assets",$A$2:$A$199,0),3)</f>
        <v>0.46</v>
      </c>
      <c r="D225" s="91" t="s">
        <v>81</v>
      </c>
    </row>
    <row r="226" spans="1:4" ht="12.75">
      <c r="A226" t="str">
        <f>INDEX($A$2:$E$199,MATCH("Commercial &amp; Industrial Loans / Assets",$A$2:$A$199,0),1)</f>
        <v>Commercial &amp; Industrial Loans / Assets</v>
      </c>
      <c r="B226" s="93">
        <f>INDEX($A$2:$E$199,MATCH("Commercial &amp; Industrial Loans / Assets",$A$2:$A$199,0),3)</f>
        <v>6.38</v>
      </c>
      <c r="D226" s="91" t="s">
        <v>82</v>
      </c>
    </row>
    <row r="227" spans="1:4" ht="12.75">
      <c r="A227" t="str">
        <f>INDEX($A$2:$E$199,MATCH("Consumer Loans / Assets",$A$2:$A$199,0),1)</f>
        <v>Consumer Loans / Assets</v>
      </c>
      <c r="B227" s="93">
        <f>INDEX($A$2:$E$199,MATCH("Consumer Loans / Assets",$A$2:$A$199,0),3)</f>
        <v>4.56</v>
      </c>
      <c r="D227" s="91" t="s">
        <v>83</v>
      </c>
    </row>
    <row r="229" ht="12.75">
      <c r="A229" t="str">
        <f ca="1">OFFSET(INDEX($A$2:$E$100,MATCH("FINANCIAL STATEMENT",$A$2:$A$100,0),1),2,0,1)</f>
        <v>JPMORGAN CHASE BANK, NATIONAL ASSOCIATION</v>
      </c>
    </row>
  </sheetData>
  <sheetProtection/>
  <hyperlinks>
    <hyperlink ref="B1" r:id="rId1" display="http://www.bankrate.com/rates/safe-sound/financial-statements.aspx?fedid=2684552"/>
  </hyperlinks>
  <printOptions/>
  <pageMargins left="0.75" right="0.75" top="1" bottom="1" header="0.5" footer="0.5"/>
  <pageSetup horizontalDpi="1200" verticalDpi="1200" orientation="portrait" r:id="rId2"/>
</worksheet>
</file>

<file path=xl/worksheets/sheet3.xml><?xml version="1.0" encoding="utf-8"?>
<worksheet xmlns="http://schemas.openxmlformats.org/spreadsheetml/2006/main" xmlns:r="http://schemas.openxmlformats.org/officeDocument/2006/relationships">
  <sheetPr codeName="Sheet3"/>
  <dimension ref="A1:R296"/>
  <sheetViews>
    <sheetView zoomScalePageLayoutView="0" workbookViewId="0" topLeftCell="A290">
      <selection activeCell="A316" sqref="A316"/>
    </sheetView>
  </sheetViews>
  <sheetFormatPr defaultColWidth="9.140625" defaultRowHeight="12.75"/>
  <cols>
    <col min="1" max="1" width="35.8515625" style="0" customWidth="1"/>
    <col min="2" max="2" width="48.57421875" style="0" customWidth="1"/>
    <col min="3" max="3" width="32.28125" style="0" customWidth="1"/>
    <col min="4" max="4" width="3.28125" style="0" customWidth="1"/>
    <col min="5" max="5" width="10.00390625" style="0" customWidth="1"/>
    <col min="6" max="18" width="10.421875" style="0" customWidth="1"/>
    <col min="19" max="19" width="10.421875" style="0" bestFit="1" customWidth="1"/>
  </cols>
  <sheetData>
    <row r="1" spans="1:2" ht="12.75">
      <c r="A1" s="82">
        <f>'Bank Analysis'!N7</f>
        <v>852218</v>
      </c>
      <c r="B1" s="79" t="s">
        <v>294</v>
      </c>
    </row>
    <row r="2" ht="12.75">
      <c r="A2" t="s">
        <v>311</v>
      </c>
    </row>
    <row r="3" ht="12.75">
      <c r="A3" t="s">
        <v>312</v>
      </c>
    </row>
    <row r="5" ht="12.75">
      <c r="B5" t="s">
        <v>313</v>
      </c>
    </row>
    <row r="6" ht="12.75">
      <c r="B6" t="s">
        <v>314</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94</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110</v>
      </c>
    </row>
    <row r="31" ht="12.75">
      <c r="A31" t="s">
        <v>111</v>
      </c>
    </row>
    <row r="32" ht="12.75">
      <c r="A32" t="s">
        <v>112</v>
      </c>
    </row>
    <row r="33" ht="12.75">
      <c r="A33" t="s">
        <v>113</v>
      </c>
    </row>
    <row r="34" ht="12.75">
      <c r="A34" t="s">
        <v>114</v>
      </c>
    </row>
    <row r="35" ht="12.75">
      <c r="A35" t="s">
        <v>115</v>
      </c>
    </row>
    <row r="36" ht="12.75">
      <c r="A36" t="s">
        <v>116</v>
      </c>
    </row>
    <row r="37" ht="12.75">
      <c r="A37" t="s">
        <v>117</v>
      </c>
    </row>
    <row r="38" ht="12.75">
      <c r="A38" t="s">
        <v>100</v>
      </c>
    </row>
    <row r="39" ht="12.75">
      <c r="A39" t="s">
        <v>118</v>
      </c>
    </row>
    <row r="40" ht="12.75">
      <c r="A40" t="s">
        <v>119</v>
      </c>
    </row>
    <row r="41" ht="12.75">
      <c r="A41" t="s">
        <v>120</v>
      </c>
    </row>
    <row r="42" ht="12.75">
      <c r="A42" t="s">
        <v>121</v>
      </c>
    </row>
    <row r="43" ht="12.75">
      <c r="A43" t="s">
        <v>107</v>
      </c>
    </row>
    <row r="44" ht="12.75">
      <c r="A44" t="s">
        <v>122</v>
      </c>
    </row>
    <row r="45" ht="12.75">
      <c r="A45" t="s">
        <v>112</v>
      </c>
    </row>
    <row r="46" ht="12.75">
      <c r="A46" t="s">
        <v>123</v>
      </c>
    </row>
    <row r="47" ht="12.75">
      <c r="A47" t="s">
        <v>124</v>
      </c>
    </row>
    <row r="48" ht="12.75">
      <c r="A48" t="s">
        <v>125</v>
      </c>
    </row>
    <row r="49" ht="12.75">
      <c r="A49" s="81" t="s">
        <v>126</v>
      </c>
    </row>
    <row r="50" ht="12.75">
      <c r="A50" t="s">
        <v>127</v>
      </c>
    </row>
    <row r="51" ht="12.75">
      <c r="A51" t="s">
        <v>235</v>
      </c>
    </row>
    <row r="53" ht="12.75">
      <c r="A53" t="s">
        <v>236</v>
      </c>
    </row>
    <row r="55" ht="12.75">
      <c r="A55" t="s">
        <v>343</v>
      </c>
    </row>
    <row r="56" ht="12.75">
      <c r="A56" t="s">
        <v>344</v>
      </c>
    </row>
    <row r="57" ht="12.75">
      <c r="A57" t="s">
        <v>345</v>
      </c>
    </row>
    <row r="59" ht="12.75">
      <c r="A59" t="s">
        <v>346</v>
      </c>
    </row>
    <row r="60" ht="12.75">
      <c r="A60" t="s">
        <v>338</v>
      </c>
    </row>
    <row r="61" ht="12.75">
      <c r="A61" t="s">
        <v>318</v>
      </c>
    </row>
    <row r="62" ht="12.75">
      <c r="A62" t="s">
        <v>348</v>
      </c>
    </row>
    <row r="65" ht="12.75">
      <c r="A65" t="s">
        <v>237</v>
      </c>
    </row>
    <row r="66" ht="12.75">
      <c r="A66" t="s">
        <v>238</v>
      </c>
    </row>
    <row r="68" ht="12.75">
      <c r="A68" t="s">
        <v>239</v>
      </c>
    </row>
    <row r="69" ht="12.75">
      <c r="A69" t="s">
        <v>240</v>
      </c>
    </row>
    <row r="70" spans="1:2" ht="12.75">
      <c r="A70" t="s">
        <v>241</v>
      </c>
      <c r="B70" t="s">
        <v>343</v>
      </c>
    </row>
    <row r="71" spans="1:2" ht="12.75">
      <c r="A71" t="s">
        <v>242</v>
      </c>
      <c r="B71" s="80">
        <v>40451</v>
      </c>
    </row>
    <row r="72" spans="1:2" ht="12.75">
      <c r="A72" t="s">
        <v>243</v>
      </c>
      <c r="B72" t="s">
        <v>319</v>
      </c>
    </row>
    <row r="73" spans="1:2" ht="12.75">
      <c r="A73" t="s">
        <v>244</v>
      </c>
      <c r="B73" t="s">
        <v>349</v>
      </c>
    </row>
    <row r="74" spans="1:2" ht="12.75">
      <c r="A74" t="s">
        <v>245</v>
      </c>
      <c r="B74" t="s">
        <v>339</v>
      </c>
    </row>
    <row r="75" spans="1:2" ht="12.75">
      <c r="A75" t="s">
        <v>246</v>
      </c>
      <c r="B75" t="s">
        <v>350</v>
      </c>
    </row>
    <row r="76" spans="1:2" ht="12.75">
      <c r="A76" t="s">
        <v>247</v>
      </c>
      <c r="B76" s="80" t="s">
        <v>351</v>
      </c>
    </row>
    <row r="77" spans="1:2" ht="12.75">
      <c r="A77" t="s">
        <v>248</v>
      </c>
      <c r="B77" s="80" t="s">
        <v>352</v>
      </c>
    </row>
    <row r="78" spans="1:2" ht="12.75">
      <c r="A78" t="s">
        <v>249</v>
      </c>
      <c r="B78" t="s">
        <v>353</v>
      </c>
    </row>
    <row r="79" spans="1:2" ht="12.75">
      <c r="A79" t="s">
        <v>250</v>
      </c>
      <c r="B79" t="s">
        <v>354</v>
      </c>
    </row>
    <row r="80" spans="1:2" ht="12.75">
      <c r="A80" t="s">
        <v>135</v>
      </c>
      <c r="B80" t="s">
        <v>355</v>
      </c>
    </row>
    <row r="81" spans="1:2" ht="12.75">
      <c r="A81" t="s">
        <v>251</v>
      </c>
      <c r="B81" t="s">
        <v>356</v>
      </c>
    </row>
    <row r="82" spans="1:2" ht="12.75">
      <c r="A82" t="s">
        <v>102</v>
      </c>
      <c r="B82" s="80" t="s">
        <v>357</v>
      </c>
    </row>
    <row r="83" spans="1:2" ht="12.75">
      <c r="A83" t="s">
        <v>252</v>
      </c>
      <c r="B83" t="s">
        <v>358</v>
      </c>
    </row>
    <row r="85" ht="12.75">
      <c r="A85" t="s">
        <v>309</v>
      </c>
    </row>
    <row r="86" ht="12.75">
      <c r="A86" t="s">
        <v>253</v>
      </c>
    </row>
    <row r="87" ht="12.75">
      <c r="A87" s="41"/>
    </row>
    <row r="88" ht="12.75">
      <c r="A88" t="s">
        <v>254</v>
      </c>
    </row>
    <row r="90" spans="1:3" ht="12.75">
      <c r="A90" s="100" t="s">
        <v>255</v>
      </c>
      <c r="B90" t="s">
        <v>256</v>
      </c>
      <c r="C90" t="s">
        <v>257</v>
      </c>
    </row>
    <row r="91" spans="1:3" ht="12.75">
      <c r="A91" t="s">
        <v>143</v>
      </c>
      <c r="B91">
        <v>8.59</v>
      </c>
      <c r="C91" t="s">
        <v>0</v>
      </c>
    </row>
    <row r="92" spans="1:3" ht="12.75">
      <c r="A92" t="s">
        <v>69</v>
      </c>
      <c r="B92">
        <v>2.55</v>
      </c>
      <c r="C92" t="s">
        <v>340</v>
      </c>
    </row>
    <row r="93" spans="1:5" ht="12.75">
      <c r="A93" t="s">
        <v>258</v>
      </c>
      <c r="B93">
        <v>2.1</v>
      </c>
      <c r="C93" s="41" t="s">
        <v>341</v>
      </c>
      <c r="E93" s="41"/>
    </row>
    <row r="94" spans="1:5" ht="12.75">
      <c r="A94" t="s">
        <v>259</v>
      </c>
      <c r="B94">
        <v>2.85</v>
      </c>
      <c r="C94" s="41" t="s">
        <v>359</v>
      </c>
      <c r="E94" s="41"/>
    </row>
    <row r="95" spans="1:5" ht="12.75">
      <c r="A95" t="s">
        <v>260</v>
      </c>
      <c r="C95" s="41"/>
      <c r="E95" s="41"/>
    </row>
    <row r="96" spans="1:5" ht="12.75">
      <c r="A96" t="s">
        <v>261</v>
      </c>
      <c r="C96" s="41"/>
      <c r="E96" s="41"/>
    </row>
    <row r="98" ht="12.75">
      <c r="A98" t="s">
        <v>307</v>
      </c>
    </row>
    <row r="99" ht="12.75">
      <c r="A99" t="s">
        <v>262</v>
      </c>
    </row>
    <row r="101" ht="12.75">
      <c r="A101" t="s">
        <v>263</v>
      </c>
    </row>
    <row r="103" spans="1:3" ht="12.75">
      <c r="A103" s="100" t="s">
        <v>264</v>
      </c>
      <c r="B103" t="s">
        <v>256</v>
      </c>
      <c r="C103" t="s">
        <v>257</v>
      </c>
    </row>
    <row r="104" spans="1:3" ht="12.75">
      <c r="A104" t="s">
        <v>265</v>
      </c>
      <c r="B104">
        <v>22.1</v>
      </c>
      <c r="C104" t="s">
        <v>342</v>
      </c>
    </row>
    <row r="105" spans="1:3" ht="12.75">
      <c r="A105" t="s">
        <v>266</v>
      </c>
      <c r="B105">
        <v>68.5</v>
      </c>
      <c r="C105" t="s">
        <v>317</v>
      </c>
    </row>
    <row r="106" spans="1:3" ht="12.75">
      <c r="A106" t="s">
        <v>267</v>
      </c>
      <c r="B106">
        <v>4.61</v>
      </c>
      <c r="C106" t="s">
        <v>268</v>
      </c>
    </row>
    <row r="107" spans="1:3" ht="12.75">
      <c r="A107" t="s">
        <v>269</v>
      </c>
      <c r="B107">
        <v>-1.63</v>
      </c>
      <c r="C107" t="s">
        <v>317</v>
      </c>
    </row>
    <row r="108" ht="12.75">
      <c r="A108" t="s">
        <v>270</v>
      </c>
    </row>
    <row r="110" ht="12.75">
      <c r="A110" t="s">
        <v>360</v>
      </c>
    </row>
    <row r="111" ht="12.75">
      <c r="A111" t="s">
        <v>271</v>
      </c>
    </row>
    <row r="113" ht="12.75">
      <c r="A113" t="s">
        <v>272</v>
      </c>
    </row>
    <row r="115" spans="1:3" ht="12.75">
      <c r="A115" t="s">
        <v>273</v>
      </c>
      <c r="B115" t="s">
        <v>256</v>
      </c>
      <c r="C115" t="s">
        <v>257</v>
      </c>
    </row>
    <row r="116" spans="1:3" ht="12.75">
      <c r="A116" t="s">
        <v>274</v>
      </c>
      <c r="B116">
        <v>8.05</v>
      </c>
      <c r="C116" t="s">
        <v>1</v>
      </c>
    </row>
    <row r="117" spans="1:3" ht="12.75">
      <c r="A117" t="s">
        <v>275</v>
      </c>
      <c r="B117">
        <v>14.27</v>
      </c>
      <c r="C117" t="s">
        <v>310</v>
      </c>
    </row>
    <row r="119" ht="12.75">
      <c r="A119" t="s">
        <v>307</v>
      </c>
    </row>
    <row r="120" ht="12.75">
      <c r="A120" t="s">
        <v>276</v>
      </c>
    </row>
    <row r="122" ht="12.75">
      <c r="A122" t="s">
        <v>277</v>
      </c>
    </row>
    <row r="124" spans="1:3" ht="12.75">
      <c r="A124" t="s">
        <v>278</v>
      </c>
      <c r="B124" t="s">
        <v>256</v>
      </c>
      <c r="C124" t="s">
        <v>257</v>
      </c>
    </row>
    <row r="125" spans="1:3" ht="12.75">
      <c r="A125" t="s">
        <v>279</v>
      </c>
      <c r="B125">
        <v>13.04</v>
      </c>
      <c r="C125" t="s">
        <v>317</v>
      </c>
    </row>
    <row r="126" spans="1:3" ht="12.75">
      <c r="A126" t="s">
        <v>280</v>
      </c>
      <c r="B126">
        <v>42.38</v>
      </c>
      <c r="C126" t="s">
        <v>361</v>
      </c>
    </row>
    <row r="128" ht="12.75">
      <c r="A128" t="s">
        <v>281</v>
      </c>
    </row>
    <row r="130" ht="12.75">
      <c r="A130" t="s">
        <v>282</v>
      </c>
    </row>
    <row r="132" ht="12.75">
      <c r="A132" t="s">
        <v>69</v>
      </c>
    </row>
    <row r="133" ht="12.75">
      <c r="A133" t="s">
        <v>2</v>
      </c>
    </row>
    <row r="134" ht="12.75">
      <c r="A134" t="s">
        <v>280</v>
      </c>
    </row>
    <row r="135" ht="12.75">
      <c r="A135" t="s">
        <v>283</v>
      </c>
    </row>
    <row r="136" ht="12.75">
      <c r="A136" t="s">
        <v>284</v>
      </c>
    </row>
    <row r="137" ht="12.75">
      <c r="A137" t="s">
        <v>362</v>
      </c>
    </row>
    <row r="139" ht="12.75">
      <c r="A139" t="s">
        <v>285</v>
      </c>
    </row>
    <row r="140" ht="12.75">
      <c r="A140" t="s">
        <v>363</v>
      </c>
    </row>
    <row r="142" ht="12.75">
      <c r="A142" t="s">
        <v>286</v>
      </c>
    </row>
    <row r="143" ht="12.75">
      <c r="A143" t="s">
        <v>364</v>
      </c>
    </row>
    <row r="145" ht="12.75">
      <c r="A145" t="s">
        <v>287</v>
      </c>
    </row>
    <row r="146" ht="12.75">
      <c r="A146" t="s">
        <v>365</v>
      </c>
    </row>
    <row r="148" ht="12.75">
      <c r="A148" t="s">
        <v>297</v>
      </c>
    </row>
    <row r="150" ht="12.75">
      <c r="A150" t="s">
        <v>288</v>
      </c>
    </row>
    <row r="152" ht="12.75">
      <c r="A152" t="s">
        <v>289</v>
      </c>
    </row>
    <row r="153" ht="12.75">
      <c r="A153" t="s">
        <v>366</v>
      </c>
    </row>
    <row r="155" ht="12.75">
      <c r="A155" t="s">
        <v>290</v>
      </c>
    </row>
    <row r="156" ht="12.75">
      <c r="A156" t="s">
        <v>335</v>
      </c>
    </row>
    <row r="158" ht="12.75">
      <c r="A158" t="s">
        <v>3</v>
      </c>
    </row>
    <row r="160" ht="12.75">
      <c r="A160" t="s">
        <v>291</v>
      </c>
    </row>
    <row r="161" ht="12.75">
      <c r="A161" t="s">
        <v>367</v>
      </c>
    </row>
    <row r="162" ht="12.75">
      <c r="A162" t="s">
        <v>368</v>
      </c>
    </row>
    <row r="164" ht="12.75">
      <c r="A164" t="s">
        <v>154</v>
      </c>
    </row>
    <row r="165" ht="12.75">
      <c r="A165" t="s">
        <v>292</v>
      </c>
    </row>
    <row r="166" ht="12.75">
      <c r="A166" t="s">
        <v>69</v>
      </c>
    </row>
    <row r="167" ht="12.75">
      <c r="A167" t="s">
        <v>2</v>
      </c>
    </row>
    <row r="168" ht="12.75">
      <c r="A168" t="s">
        <v>280</v>
      </c>
    </row>
    <row r="170" ht="12.75">
      <c r="A170" t="s">
        <v>293</v>
      </c>
    </row>
    <row r="171" ht="12.75">
      <c r="A171" t="s">
        <v>369</v>
      </c>
    </row>
    <row r="172" ht="12.75">
      <c r="A172" t="s">
        <v>327</v>
      </c>
    </row>
    <row r="173" ht="12.75">
      <c r="A173" t="s">
        <v>162</v>
      </c>
    </row>
    <row r="174" ht="12.75">
      <c r="A174" t="s">
        <v>163</v>
      </c>
    </row>
    <row r="175" ht="12.75">
      <c r="A175" t="s">
        <v>164</v>
      </c>
    </row>
    <row r="176" ht="12.75">
      <c r="A176" t="s">
        <v>165</v>
      </c>
    </row>
    <row r="177" ht="12.75">
      <c r="A177" t="s">
        <v>166</v>
      </c>
    </row>
    <row r="178" ht="12.75">
      <c r="A178" t="s">
        <v>167</v>
      </c>
    </row>
    <row r="179" ht="12.75">
      <c r="A179" t="s">
        <v>168</v>
      </c>
    </row>
    <row r="180" ht="12.75">
      <c r="A180" t="s">
        <v>169</v>
      </c>
    </row>
    <row r="181" ht="12.75">
      <c r="A181" t="s">
        <v>170</v>
      </c>
    </row>
    <row r="182" ht="12.75">
      <c r="A182" t="s">
        <v>171</v>
      </c>
    </row>
    <row r="183" ht="12.75">
      <c r="A183" t="s">
        <v>172</v>
      </c>
    </row>
    <row r="184" ht="12.75">
      <c r="A184" t="s">
        <v>173</v>
      </c>
    </row>
    <row r="185" ht="12.75">
      <c r="A185" t="s">
        <v>174</v>
      </c>
    </row>
    <row r="186" ht="12.75">
      <c r="A186" t="s">
        <v>175</v>
      </c>
    </row>
    <row r="187" ht="12.75">
      <c r="A187" t="s">
        <v>176</v>
      </c>
    </row>
    <row r="188" ht="12.75">
      <c r="A188" t="s">
        <v>177</v>
      </c>
    </row>
    <row r="189" ht="12.75">
      <c r="A189" t="s">
        <v>178</v>
      </c>
    </row>
    <row r="190" ht="12.75">
      <c r="A190" t="s">
        <v>179</v>
      </c>
    </row>
    <row r="191" ht="12.75">
      <c r="A191" t="s">
        <v>180</v>
      </c>
    </row>
    <row r="192" ht="12.75">
      <c r="A192" t="s">
        <v>181</v>
      </c>
    </row>
    <row r="193" ht="12.75">
      <c r="A193" t="s">
        <v>182</v>
      </c>
    </row>
    <row r="194" ht="12.75">
      <c r="A194" t="s">
        <v>183</v>
      </c>
    </row>
    <row r="195" ht="12.75">
      <c r="A195" t="s">
        <v>184</v>
      </c>
    </row>
    <row r="196" ht="12.75">
      <c r="A196" t="s">
        <v>185</v>
      </c>
    </row>
    <row r="197" ht="12.75">
      <c r="A197" t="s">
        <v>186</v>
      </c>
    </row>
    <row r="198" ht="12.75">
      <c r="A198" t="s">
        <v>187</v>
      </c>
    </row>
    <row r="199" ht="12.75">
      <c r="A199" t="s">
        <v>188</v>
      </c>
    </row>
    <row r="200" spans="1:2" ht="12.75">
      <c r="A200" t="s">
        <v>189</v>
      </c>
      <c r="B200" t="s">
        <v>190</v>
      </c>
    </row>
    <row r="201" ht="12.75">
      <c r="A201" t="s">
        <v>191</v>
      </c>
    </row>
    <row r="202" ht="12.75">
      <c r="A202" t="s">
        <v>192</v>
      </c>
    </row>
    <row r="203" ht="12.75">
      <c r="A203" t="s">
        <v>193</v>
      </c>
    </row>
    <row r="204" ht="12.75">
      <c r="A204" t="s">
        <v>194</v>
      </c>
    </row>
    <row r="205" ht="12.75">
      <c r="A205" t="s">
        <v>195</v>
      </c>
    </row>
    <row r="206" ht="12.75">
      <c r="A206" t="s">
        <v>196</v>
      </c>
    </row>
    <row r="207" ht="12.75">
      <c r="A207" t="s">
        <v>197</v>
      </c>
    </row>
    <row r="208" ht="12.75">
      <c r="A208" t="s">
        <v>194</v>
      </c>
    </row>
    <row r="209" ht="12.75">
      <c r="A209" t="s">
        <v>198</v>
      </c>
    </row>
    <row r="210" spans="1:5" ht="12.75">
      <c r="A210" t="s">
        <v>126</v>
      </c>
      <c r="C210" s="41"/>
      <c r="E210" s="41"/>
    </row>
    <row r="211" spans="1:5" ht="12.75">
      <c r="A211" t="s">
        <v>199</v>
      </c>
      <c r="C211" s="41"/>
      <c r="E211" s="41"/>
    </row>
    <row r="212" spans="1:5" ht="12.75">
      <c r="A212" t="s">
        <v>200</v>
      </c>
      <c r="C212" s="41"/>
      <c r="E212" s="41"/>
    </row>
    <row r="213" spans="1:5" ht="12.75">
      <c r="A213" t="s">
        <v>201</v>
      </c>
      <c r="C213" s="41" t="s">
        <v>202</v>
      </c>
      <c r="D213" t="s">
        <v>203</v>
      </c>
      <c r="E213" s="41" t="s">
        <v>204</v>
      </c>
    </row>
    <row r="214" spans="1:5" ht="12.75">
      <c r="A214" t="s">
        <v>205</v>
      </c>
      <c r="C214" s="41">
        <v>0.0073</v>
      </c>
      <c r="E214" s="41">
        <v>0.0075</v>
      </c>
    </row>
    <row r="215" spans="1:5" ht="12.75">
      <c r="A215" t="s">
        <v>206</v>
      </c>
      <c r="C215" s="41">
        <v>0.0112</v>
      </c>
      <c r="E215" s="41">
        <v>0.0113</v>
      </c>
    </row>
    <row r="216" spans="1:5" ht="12.75">
      <c r="A216" t="s">
        <v>207</v>
      </c>
      <c r="C216" s="41">
        <v>0.0228</v>
      </c>
      <c r="E216" s="41">
        <v>0.0229</v>
      </c>
    </row>
    <row r="217" spans="1:5" ht="12.75">
      <c r="A217" s="41" t="s">
        <v>208</v>
      </c>
      <c r="C217" s="41">
        <v>0.0097</v>
      </c>
      <c r="E217" s="41">
        <v>0.0098</v>
      </c>
    </row>
    <row r="218" ht="12.75">
      <c r="A218" t="s">
        <v>209</v>
      </c>
    </row>
    <row r="219" ht="12.75">
      <c r="A219" s="41" t="s">
        <v>328</v>
      </c>
    </row>
    <row r="220" ht="12.75">
      <c r="A220" t="s">
        <v>210</v>
      </c>
    </row>
    <row r="221" spans="1:5" ht="12.75">
      <c r="A221" t="s">
        <v>211</v>
      </c>
      <c r="C221" s="41"/>
      <c r="E221" s="41"/>
    </row>
    <row r="222" spans="1:5" ht="12.75">
      <c r="A222" t="s">
        <v>329</v>
      </c>
      <c r="C222" s="41"/>
      <c r="E222" s="41"/>
    </row>
    <row r="223" spans="1:5" ht="12.75">
      <c r="A223" s="41" t="s">
        <v>330</v>
      </c>
      <c r="C223" s="41"/>
      <c r="E223" s="41"/>
    </row>
    <row r="224" spans="1:5" ht="12.75">
      <c r="A224" s="41" t="s">
        <v>212</v>
      </c>
      <c r="C224" s="41"/>
      <c r="E224" s="41"/>
    </row>
    <row r="225" spans="1:5" ht="12.75">
      <c r="A225" t="s">
        <v>315</v>
      </c>
      <c r="C225" s="41"/>
      <c r="E225" s="41"/>
    </row>
    <row r="226" spans="1:5" ht="12.75">
      <c r="A226" t="s">
        <v>316</v>
      </c>
      <c r="C226" s="41"/>
      <c r="E226" s="41"/>
    </row>
    <row r="227" spans="1:5" ht="12.75">
      <c r="A227" s="41" t="s">
        <v>126</v>
      </c>
      <c r="C227" s="41"/>
      <c r="E227" s="41"/>
    </row>
    <row r="228" spans="1:5" ht="12.75">
      <c r="A228" t="s">
        <v>331</v>
      </c>
      <c r="C228" s="41"/>
      <c r="E228" s="41"/>
    </row>
    <row r="229" spans="1:5" ht="12.75">
      <c r="A229" t="s">
        <v>332</v>
      </c>
      <c r="C229" s="41"/>
      <c r="E229" s="41"/>
    </row>
    <row r="230" spans="1:5" ht="12.75">
      <c r="A230" t="s">
        <v>336</v>
      </c>
      <c r="C230" s="41"/>
      <c r="E230" s="41"/>
    </row>
    <row r="231" spans="1:5" ht="12.75">
      <c r="A231" t="s">
        <v>337</v>
      </c>
      <c r="C231" s="41"/>
      <c r="E231" s="41"/>
    </row>
    <row r="232" spans="1:5" ht="12.75">
      <c r="A232" t="s">
        <v>333</v>
      </c>
      <c r="C232" s="41"/>
      <c r="E232" s="41"/>
    </row>
    <row r="233" spans="1:5" ht="12.75">
      <c r="A233" t="s">
        <v>213</v>
      </c>
      <c r="C233" s="41"/>
      <c r="E233" s="41"/>
    </row>
    <row r="234" spans="1:5" ht="12.75">
      <c r="A234" t="s">
        <v>214</v>
      </c>
      <c r="C234" s="41"/>
      <c r="E234" s="41"/>
    </row>
    <row r="235" spans="1:5" ht="12.75">
      <c r="A235" t="s">
        <v>215</v>
      </c>
      <c r="C235" s="41"/>
      <c r="E235" s="41"/>
    </row>
    <row r="236" spans="1:5" ht="12.75">
      <c r="A236" t="s">
        <v>216</v>
      </c>
      <c r="C236" s="41"/>
      <c r="E236" s="41"/>
    </row>
    <row r="237" ht="12.75">
      <c r="A237" t="s">
        <v>126</v>
      </c>
    </row>
    <row r="238" spans="1:5" ht="12.75">
      <c r="A238" t="s">
        <v>217</v>
      </c>
      <c r="C238" s="41"/>
      <c r="E238" s="41"/>
    </row>
    <row r="239" spans="1:5" ht="12.75">
      <c r="A239" t="s">
        <v>218</v>
      </c>
      <c r="C239" s="41"/>
      <c r="E239" s="41"/>
    </row>
    <row r="240" spans="1:5" ht="12.75">
      <c r="A240" t="s">
        <v>219</v>
      </c>
      <c r="C240" s="41"/>
      <c r="E240" s="41"/>
    </row>
    <row r="241" spans="1:5" ht="12.75">
      <c r="A241" t="s">
        <v>220</v>
      </c>
      <c r="C241" s="41"/>
      <c r="E241" s="41"/>
    </row>
    <row r="242" ht="12.75">
      <c r="A242" t="s">
        <v>221</v>
      </c>
    </row>
    <row r="243" ht="12.75">
      <c r="A243" t="s">
        <v>222</v>
      </c>
    </row>
    <row r="244" ht="12.75">
      <c r="A244" t="s">
        <v>126</v>
      </c>
    </row>
    <row r="245" ht="12.75">
      <c r="A245" t="s">
        <v>223</v>
      </c>
    </row>
    <row r="246" ht="12.75">
      <c r="A246" t="s">
        <v>224</v>
      </c>
    </row>
    <row r="247" ht="12.75">
      <c r="A247" t="s">
        <v>225</v>
      </c>
    </row>
    <row r="248" ht="12.75">
      <c r="A248" t="s">
        <v>226</v>
      </c>
    </row>
    <row r="249" ht="12.75">
      <c r="A249" t="s">
        <v>227</v>
      </c>
    </row>
    <row r="250" ht="12.75">
      <c r="A250" t="s">
        <v>228</v>
      </c>
    </row>
    <row r="251" ht="12.75">
      <c r="A251" t="s">
        <v>229</v>
      </c>
    </row>
    <row r="252" ht="12.75">
      <c r="A252" t="s">
        <v>230</v>
      </c>
    </row>
    <row r="253" ht="12.75">
      <c r="A253" t="s">
        <v>231</v>
      </c>
    </row>
    <row r="254" ht="12.75">
      <c r="A254" t="s">
        <v>232</v>
      </c>
    </row>
    <row r="255" ht="12.75">
      <c r="A255" t="s">
        <v>334</v>
      </c>
    </row>
    <row r="256" ht="12.75">
      <c r="A256" t="s">
        <v>233</v>
      </c>
    </row>
    <row r="257" ht="12.75">
      <c r="A257" t="s">
        <v>234</v>
      </c>
    </row>
    <row r="265" ht="12.75">
      <c r="E265" s="100"/>
    </row>
    <row r="266" spans="1:5" ht="12.75">
      <c r="A266" s="94"/>
      <c r="B266" s="94"/>
      <c r="C266" s="94"/>
      <c r="E266" s="100"/>
    </row>
    <row r="267" spans="1:5" ht="12.75">
      <c r="A267" t="e">
        <f>INDEX($A$2:$E$139,MATCH("Component star rating: 1 star",$A$2:$A$139,0),1)</f>
        <v>#N/A</v>
      </c>
      <c r="B267" s="81" t="s">
        <v>24</v>
      </c>
      <c r="C267" t="e">
        <f>RIGHT(A267,7)</f>
        <v>#N/A</v>
      </c>
      <c r="D267" t="e">
        <f>RIGHT(A267,7)</f>
        <v>#N/A</v>
      </c>
      <c r="E267" t="str">
        <f>VLOOKUP("3",C267:C270,1,1)</f>
        <v> 3 starstarstar</v>
      </c>
    </row>
    <row r="268" spans="1:4" ht="12.75">
      <c r="A268" t="e">
        <f>INDEX($A$2:$E$139,MATCH("STAR RATING: 2 starstar",$A$2:$A$139,0),1)</f>
        <v>#N/A</v>
      </c>
      <c r="B268" s="81" t="s">
        <v>25</v>
      </c>
      <c r="C268" t="e">
        <f>RIGHT(A268,11)</f>
        <v>#N/A</v>
      </c>
      <c r="D268" t="e">
        <f>RIGHT(A268,11)</f>
        <v>#N/A</v>
      </c>
    </row>
    <row r="269" spans="1:4" ht="12.75">
      <c r="A269" t="str">
        <f>INDEX($A$2:$E$139,MATCH("Component star rating: 3 starSTARSTAR",$A$2:$A$139,0),1)</f>
        <v>Component star rating: 3 starstarstar</v>
      </c>
      <c r="B269" s="81" t="s">
        <v>26</v>
      </c>
      <c r="C269" t="str">
        <f>RIGHT(A269,15)</f>
        <v> 3 starstarstar</v>
      </c>
      <c r="D269" t="str">
        <f>RIGHT(A269,15)</f>
        <v> 3 starstarstar</v>
      </c>
    </row>
    <row r="270" spans="1:4" ht="12.75">
      <c r="A270" t="e">
        <f>INDEX($A$2:$E$139,MATCH("Component star rating: 4 STARSTARSTARSTRAR",$A$2:$A$139,0),1)</f>
        <v>#N/A</v>
      </c>
      <c r="B270" s="81" t="s">
        <v>17</v>
      </c>
      <c r="C270" t="e">
        <f>RIGHT(A270,19)</f>
        <v>#N/A</v>
      </c>
      <c r="D270" t="e">
        <f>RIGHT(A270,19)</f>
        <v>#N/A</v>
      </c>
    </row>
    <row r="271" ht="12.75">
      <c r="B271" s="100"/>
    </row>
    <row r="272" spans="1:3" ht="12.75">
      <c r="A272" t="str">
        <f>INDEX($A$2:$E$139,MATCH("Overhead (1)",$A$2:$A$139,0),1)</f>
        <v>Overhead (1)</v>
      </c>
      <c r="B272">
        <f>INDEX($A$2:$E$139,MATCH("Overhead (1)",$A$2:$A$139,0),2)</f>
        <v>2.85</v>
      </c>
      <c r="C272" t="str">
        <f>INDEX($A$2:$E$139,MATCH("Overhead (1)",$A$2:$A$139,0),3)</f>
        <v>Below Standard</v>
      </c>
    </row>
    <row r="273" spans="1:3" ht="12.75">
      <c r="A273" t="str">
        <f>INDEX($A$2:$E$139,MATCH("Loss Reserve Coverage (3)",$A$2:$A$139,0),1)</f>
        <v>Loss Reserve Coverage (3)</v>
      </c>
      <c r="B273">
        <f>INDEX($A$2:$E$139,MATCH("Loss Reserve Coverage (3)",$A$2:$A$139,0),2)</f>
        <v>68.5</v>
      </c>
      <c r="C273" t="str">
        <f>INDEX($A$2:$E$139,MATCH("Loss Reserve Coverage (3)",$A$2:$A$139,0),3)</f>
        <v>Below Normal</v>
      </c>
    </row>
    <row r="274" spans="1:3" ht="12.75">
      <c r="A274" t="str">
        <f>INDEX($A$2:$E$139,MATCH("Nonperforming Asset Ratio (2)",$A$2:$A$139,0),1)</f>
        <v>Nonperforming Asset Ratio (2)</v>
      </c>
      <c r="B274">
        <f>INDEX($A$2:$E$139,MATCH("Nonperforming Asset Ratio (2)",$A$2:$A$139,0),2)</f>
        <v>22.1</v>
      </c>
      <c r="C274" t="str">
        <f>INDEX($A$2:$E$139,MATCH("Nonperforming Asset Ratio (2)",$A$2:$A$139,0),3)</f>
        <v>Higher Than Standard</v>
      </c>
    </row>
    <row r="275" spans="1:3" ht="12.75">
      <c r="A275" t="str">
        <f>INDEX($A$2:$E$139,MATCH("net interest margin",$A$2:$A$139,0),1)</f>
        <v>Net Interest Margin</v>
      </c>
      <c r="B275">
        <f>INDEX($A$2:$E$139,MATCH("net interest margin",$A$2:$A$139,0),2)</f>
        <v>2.55</v>
      </c>
      <c r="C275" t="str">
        <f>INDEX($A$2:$E$139,MATCH("net interest margin",$A$2:$A$139,0),3)</f>
        <v>Substantially Below Average</v>
      </c>
    </row>
    <row r="276" spans="1:3" ht="12.75">
      <c r="A276" t="str">
        <f>INDEX($A$2:$E$139,MATCH("return on equity",$A$2:$A$139,0),1)</f>
        <v>Return on Equity</v>
      </c>
      <c r="B276" s="93">
        <f>INDEX($A$2:$E$139,MATCH("return on equity",$A$2:$A$139,0),2)</f>
        <v>8.59</v>
      </c>
      <c r="C276" s="93" t="str">
        <f>INDEX($A$2:$E$139,MATCH("return on equity",$A$2:$A$139,0),3)</f>
        <v>Very Healthy</v>
      </c>
    </row>
    <row r="277" spans="1:3" ht="12.75">
      <c r="A277" t="str">
        <f>INDEX($A$2:$E$139,MATCH("net worth to total assets",$A$2:$A$139,0),1)</f>
        <v>Net Worth to Total Assets</v>
      </c>
      <c r="B277">
        <f>INDEX($A$2:$E$139,MATCH("net worth to total assets",$A$2:$A$139,0),2)</f>
        <v>8.05</v>
      </c>
      <c r="C277" t="str">
        <f>INDEX($A$2:$E$139,MATCH("net worth to total assets",$A$2:$A$139,0),3)</f>
        <v>Significantly Below Norm</v>
      </c>
    </row>
    <row r="279" ht="12.75">
      <c r="A279" t="str">
        <f ca="1">OFFSET(INDEX($A$2:$E$139,MATCH("Memorandum on findings",$A$2:$A$139,0),1),6,0,1)</f>
        <v>STAR RATING: 3 starstarstar</v>
      </c>
    </row>
    <row r="280" spans="1:18" ht="12.75">
      <c r="A280" t="str">
        <f ca="1">OFFSET(INDEX($A$92:$E$239,MATCH("PREDICTIVE INDICATOR",$A$92:$A$239,0),1),1,0,1)</f>
        <v>As stated, we have determined a composite Star rating for this bank of 3 starstarstar, indicative of a generally satisfactory financial condition. At times, financial conditions of banks change rapidly and significantly. Hence, our Safe &amp; Sound Star ratings should not be deemed predictive of likely future ratings. However, in view of early warning indicators set forth within this report, in combination with the institution's financial data, we believe that the Star rating for this institution is unlikely to change within the ensuing twelve month period.</v>
      </c>
      <c r="I280" s="100"/>
      <c r="K280" s="100"/>
      <c r="Q280" s="96"/>
      <c r="R280" s="96"/>
    </row>
    <row r="281" spans="9:18" ht="12.75">
      <c r="I281" s="100"/>
      <c r="K281" s="100"/>
      <c r="M281" s="100"/>
      <c r="Q281" s="100"/>
      <c r="R281" s="100"/>
    </row>
    <row r="282" spans="1:18" ht="12.75">
      <c r="A282" t="str">
        <f ca="1">OFFSET(INDEX($A$2:$E$239,MATCH("COMPOSITE SUMMARY",$A$2:$A$239,0),1),1,0,1)</f>
        <v>Bankrate believes that, as of September 30, 2010, this bank exhibited a generally satisfactory condition, characterized by normal overall, sustainable profitability, satisfactory asset quality, below standard capitalization and near normal liquidity.</v>
      </c>
      <c r="M282" s="100"/>
      <c r="O282" s="100"/>
      <c r="P282" s="100"/>
      <c r="Q282" s="100"/>
      <c r="R282" s="100"/>
    </row>
    <row r="283" spans="14:18" ht="12.75">
      <c r="N283" s="100"/>
      <c r="O283" s="100"/>
      <c r="P283" s="100"/>
      <c r="Q283" s="101"/>
      <c r="R283" s="96"/>
    </row>
    <row r="284" spans="1:18" ht="12.75">
      <c r="A284" t="str">
        <f ca="1">OFFSET(INDEX($A$2:$E$239,MATCH("ASSET QUALITY ANALYSIS",$A$2:$A$239,0),1),1,0,1)</f>
        <v>The bank revealed, as previously stated, satisfactory asset quality. Our conclusion with respect to asset quality incorporates our analysis of data depicting regional economic conditions as well as our computations of a higher than standard September 30, 2010 nonperforming asset ratio, below normal reserve coverage for nonperforming loans, and apparently acceptable quality, or no greater than average, holdings of commercial real estate and construction loans, two categories that can intensify credit risk.</v>
      </c>
      <c r="N284" s="100"/>
      <c r="R284" s="96"/>
    </row>
    <row r="285" ht="12.75">
      <c r="R285" s="96"/>
    </row>
    <row r="286" spans="1:18" ht="12.75">
      <c r="A286" t="str">
        <f ca="1">OFFSET(INDEX($A$2:$E$239,MATCH("INSTITUTION SUMMARY",$A$2:$A$239,0),1),1,0,1)</f>
        <v>This bank has been rated generally satisfactory.</v>
      </c>
      <c r="R286" s="96"/>
    </row>
    <row r="287" spans="8:18" ht="12.75">
      <c r="H287" s="100"/>
      <c r="J287" s="100"/>
      <c r="L287" s="100"/>
      <c r="R287" s="96"/>
    </row>
    <row r="288" spans="8:18" ht="12.75">
      <c r="H288" s="100"/>
      <c r="J288" s="100"/>
      <c r="L288" s="100"/>
      <c r="R288" s="100"/>
    </row>
    <row r="289" ht="12.75">
      <c r="R289" s="101"/>
    </row>
    <row r="290" spans="6:18" ht="12.75">
      <c r="F290" s="100"/>
      <c r="R290" s="101"/>
    </row>
    <row r="291" spans="6:18" ht="12.75">
      <c r="F291" s="100"/>
      <c r="R291" s="101"/>
    </row>
    <row r="295" ht="12.75">
      <c r="G295" s="100"/>
    </row>
    <row r="296" ht="12.75">
      <c r="G296" s="100"/>
    </row>
  </sheetData>
  <sheetProtection/>
  <hyperlinks>
    <hyperlink ref="B1" r:id="rId1" display="http://www.bankrate.com/rates/safe-sound/memorandums-memos.aspx?fedid=17969"/>
  </hyperlinks>
  <printOptions/>
  <pageMargins left="0.75" right="0.75" top="1" bottom="1" header="0.5" footer="0.5"/>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Adams</dc:creator>
  <cp:keywords/>
  <dc:description/>
  <cp:lastModifiedBy>Bob</cp:lastModifiedBy>
  <cp:lastPrinted>2011-02-16T21:08:39Z</cp:lastPrinted>
  <dcterms:created xsi:type="dcterms:W3CDTF">2002-07-04T23:49:49Z</dcterms:created>
  <dcterms:modified xsi:type="dcterms:W3CDTF">2011-02-16T21:08:53Z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