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1" windowWidth="15360" windowHeight="10050" activeTab="0"/>
  </bookViews>
  <sheets>
    <sheet name="Getting Started" sheetId="1" r:id="rId1"/>
    <sheet name="Sell-To-Open" sheetId="2" r:id="rId2"/>
    <sheet name="Closing the Option" sheetId="3" r:id="rId3"/>
    <sheet name="Dates" sheetId="4" state="veryHidden" r:id="rId4"/>
    <sheet name="Costs" sheetId="5" state="veryHidden" r:id="rId5"/>
    <sheet name="Quotes" sheetId="6" state="veryHidden" r:id="rId6"/>
    <sheet name="Quotes (2)" sheetId="7" state="veryHidden" r:id="rId7"/>
    <sheet name="Version Info" sheetId="8" state="veryHidden" r:id="rId8"/>
    <sheet name="SPY Ex-Div" sheetId="9" state="veryHidden" r:id="rId9"/>
  </sheets>
  <externalReferences>
    <externalReference r:id="rId12"/>
  </externalReferences>
  <definedNames>
    <definedName name="_xlfn.WEBSERVICE" hidden="1">#NAME?</definedName>
    <definedName name="assignment">'Getting Started'!$H$10</definedName>
    <definedName name="btc">'Closing the Option'!$G$4</definedName>
    <definedName name="BTCchange">'Quotes (2)'!$C$4</definedName>
    <definedName name="BTCcompanyname">'Quotes (2)'!$D$4</definedName>
    <definedName name="BTCLast">'Quotes (2)'!$B$4</definedName>
    <definedName name="BTCTicker">'Closing the Option'!$A$5</definedName>
    <definedName name="change">'Quotes'!$C$4</definedName>
    <definedName name="commission">'Costs'!$B$6</definedName>
    <definedName name="companyname">'Quotes'!$D$4</definedName>
    <definedName name="dayofweek1stofmonth">'Dates'!$C$4</definedName>
    <definedName name="daysofweekblock">'Dates'!$E$4:$F$10</definedName>
    <definedName name="FrontMonthExp">'Dates'!$D$4</definedName>
    <definedName name="Last">'Getting Started'!$E$7</definedName>
    <definedName name="longlist">'Dates'!$P$19:$P$40</definedName>
    <definedName name="mindays">'Costs'!$F$8</definedName>
    <definedName name="minpercent">'Costs'!$D$8</definedName>
    <definedName name="mondaybeforefourthtuesday">'SPY Ex-Div'!$V$13:$W$19</definedName>
    <definedName name="MSN_MoneyCentral_Stock_Quotes" localSheetId="5">'Quotes'!$B$1:$Q$19</definedName>
    <definedName name="MSN_MoneyCentral_Stock_Quotes" localSheetId="6">'Quotes (2)'!#REF!</definedName>
    <definedName name="MSN_MoneyCentral_Stock_Quotes_1" localSheetId="5">'Quotes'!$B$1:$Q$19</definedName>
    <definedName name="MSN_MoneyCentral_Stock_Quotes_1" localSheetId="6">'Quotes (2)'!#REF!</definedName>
    <definedName name="MSN_MoneyCentral_Stock_Quotes_2" localSheetId="6">'Quotes (2)'!#REF!</definedName>
    <definedName name="MSN_MoneyCentral_Stock_Quotes_3" localSheetId="6">'Quotes (2)'!#REF!</definedName>
    <definedName name="shortlist">'Dates'!$K$20:$K$33</definedName>
    <definedName name="ThursdayBeforeThirdFriday">'SPY Ex-Div'!$V$5:$W$11</definedName>
    <definedName name="Ticker">'Getting Started'!$C$7</definedName>
    <definedName name="todaysdayofweek">'Dates'!$A$8</definedName>
    <definedName name="tradecost">'Costs'!$B$7</definedName>
    <definedName name="Version">'Version Info'!$B$1</definedName>
  </definedNames>
  <calcPr fullCalcOnLoad="1" refMode="R1C1"/>
</workbook>
</file>

<file path=xl/sharedStrings.xml><?xml version="1.0" encoding="utf-8"?>
<sst xmlns="http://schemas.openxmlformats.org/spreadsheetml/2006/main" count="104" uniqueCount="75">
  <si>
    <t>FrontMonth</t>
  </si>
  <si>
    <t>SecondMonth</t>
  </si>
  <si>
    <t>Nextweekly</t>
  </si>
  <si>
    <t>APR</t>
  </si>
  <si>
    <t>ASSUMPTIONS</t>
  </si>
  <si>
    <t>Sell-To-Open</t>
  </si>
  <si>
    <t>2. Selecting a possible option</t>
  </si>
  <si>
    <t>Possible Expiration Dates</t>
  </si>
  <si>
    <t xml:space="preserve"> Strike?</t>
  </si>
  <si>
    <t>3. Analyzing your selection</t>
  </si>
  <si>
    <t>Price</t>
  </si>
  <si>
    <t>What Exp. Date?</t>
  </si>
  <si>
    <t>What Premium?</t>
  </si>
  <si>
    <t>How many Contracts?</t>
  </si>
  <si>
    <t>Base</t>
  </si>
  <si>
    <t>per contract</t>
  </si>
  <si>
    <t>Net Premium</t>
  </si>
  <si>
    <t>Minimum Premium (Bid price)</t>
  </si>
  <si>
    <t>Date</t>
  </si>
  <si>
    <t>Version</t>
  </si>
  <si>
    <t>Author</t>
  </si>
  <si>
    <t>Comments</t>
  </si>
  <si>
    <t>PAM</t>
  </si>
  <si>
    <t>Strike?</t>
  </si>
  <si>
    <t>Sell-To-Open Premium?</t>
  </si>
  <si>
    <t>Number of Contracts?</t>
  </si>
  <si>
    <t>Maximum Premium (Ask price)</t>
  </si>
  <si>
    <t>Date Sold?</t>
  </si>
  <si>
    <t>1. Original Sell-To-Open Position</t>
  </si>
  <si>
    <t>Exp Date</t>
  </si>
  <si>
    <t>Cntrcts in base</t>
  </si>
  <si>
    <t>2. Recommended Maximum Premium</t>
  </si>
  <si>
    <t>Strike</t>
  </si>
  <si>
    <t>Number of contracts covered in Base</t>
  </si>
  <si>
    <t>Commissions on STO</t>
  </si>
  <si>
    <t>Commissions on BTC</t>
  </si>
  <si>
    <t xml:space="preserve">   =   Net</t>
  </si>
  <si>
    <t>$0.00</t>
  </si>
  <si>
    <t>Collected on Open    -    Cost To Close</t>
  </si>
  <si>
    <t>Collected on Open    -     Cost To Close</t>
  </si>
  <si>
    <t>3c. If option is exercised you will sell your stock for</t>
  </si>
  <si>
    <t>Strike  Price  +  Premium   -   Assignment =</t>
  </si>
  <si>
    <r>
      <t xml:space="preserve">3a. If you </t>
    </r>
    <r>
      <rPr>
        <b/>
        <i/>
        <sz val="16"/>
        <color indexed="10"/>
        <rFont val="Calibri"/>
        <family val="2"/>
      </rPr>
      <t>Buy-To-Close</t>
    </r>
  </si>
  <si>
    <t>Your Premium?</t>
  </si>
  <si>
    <t>Brokerage Commission Schedule</t>
  </si>
  <si>
    <t xml:space="preserve">Base Commission </t>
  </si>
  <si>
    <t xml:space="preserve">Cost per contract beyond base </t>
  </si>
  <si>
    <t>Assignment fee
Or Stock trade cost</t>
  </si>
  <si>
    <t>Closing the Option</t>
  </si>
  <si>
    <t xml:space="preserve"> Proceeds per share</t>
  </si>
  <si>
    <t>Enter Ticker:</t>
  </si>
  <si>
    <t>Brought to you by:</t>
  </si>
  <si>
    <t>Developed by:</t>
  </si>
  <si>
    <t>www.bivio.com/COOL_Club</t>
  </si>
  <si>
    <t>Paul Madison    TheCOOLClubDude@gmail.com</t>
  </si>
  <si>
    <r>
      <rPr>
        <i/>
        <sz val="14"/>
        <color indexed="10"/>
        <rFont val="Calibri"/>
        <family val="2"/>
      </rPr>
      <t>Before you Start:</t>
    </r>
    <r>
      <rPr>
        <sz val="14"/>
        <color indexed="8"/>
        <rFont val="Calibri"/>
        <family val="2"/>
      </rPr>
      <t xml:space="preserve"> Be sure that you have enabled Macros and External content!</t>
    </r>
  </si>
  <si>
    <r>
      <t>This COOL TOOL is used to make SELL-TO-OPEN and CLOSING decisions on Covered Options on Index ETFs such as SPY and IWM</t>
    </r>
    <r>
      <rPr>
        <sz val="16"/>
        <color indexed="17"/>
        <rFont val="Calibri"/>
        <family val="2"/>
      </rPr>
      <t xml:space="preserve">. </t>
    </r>
    <r>
      <rPr>
        <sz val="16"/>
        <color indexed="8"/>
        <rFont val="Calibri"/>
        <family val="2"/>
      </rPr>
      <t xml:space="preserve"> There is also  a separate COOL TOOL for Cash Secured PUTs and Covered Calls on individual Stocks.</t>
    </r>
  </si>
  <si>
    <t>1. Fundamental Index Questions</t>
  </si>
  <si>
    <t>Upper</t>
  </si>
  <si>
    <t>Lower</t>
  </si>
  <si>
    <t>Which do you want to sell?</t>
  </si>
  <si>
    <t>SPY</t>
  </si>
  <si>
    <t>IWM</t>
  </si>
  <si>
    <t>Next Ex-Div</t>
  </si>
  <si>
    <t xml:space="preserve">Next Ex-Dividend Date: </t>
  </si>
  <si>
    <t>First Release, added the Quarterly expirations for Indexes</t>
  </si>
  <si>
    <t>Index ETF COOL TOOL</t>
  </si>
  <si>
    <t>Updated for Mac</t>
  </si>
  <si>
    <t>Fixed a few bugs. Warning message on PUTS being in the money and check on enough cash.</t>
  </si>
  <si>
    <t>M</t>
  </si>
  <si>
    <t xml:space="preserve">Added more weeklies </t>
  </si>
  <si>
    <t>Fixed next month expiration not being in the list</t>
  </si>
  <si>
    <t>Webservice Yahoo quotes</t>
  </si>
  <si>
    <t>Enter Last Price:</t>
  </si>
  <si>
    <t>Enter ETF Ticker: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</si>
</sst>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%"/>
    <numFmt numFmtId="166" formatCode="mmm\ d"/>
    <numFmt numFmtId="167" formatCode="&quot;$&quot;#,##0.00"/>
    <numFmt numFmtId="168" formatCode="&quot;$&quot;#,##0"/>
    <numFmt numFmtId="169" formatCode="\+#,##0.00_);[Red]\-#,##0.00"/>
    <numFmt numFmtId="170" formatCode="mmm\ d\,\ \'yy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m\ d\ \'yy"/>
    <numFmt numFmtId="178" formatCode="m/d;@"/>
    <numFmt numFmtId="179" formatCode="\Q\t\r\ mmm\ d\,\ \'yy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10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6"/>
      <color indexed="17"/>
      <name val="Calibri"/>
      <family val="2"/>
    </font>
    <font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2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30"/>
      <name val="Calibri"/>
      <family val="2"/>
    </font>
    <font>
      <b/>
      <i/>
      <sz val="16"/>
      <color indexed="9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sz val="16"/>
      <color indexed="9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30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30"/>
      <name val="Calibri"/>
      <family val="2"/>
    </font>
    <font>
      <b/>
      <i/>
      <sz val="16"/>
      <name val="Calibri"/>
      <family val="2"/>
    </font>
    <font>
      <b/>
      <i/>
      <sz val="12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20"/>
      <color indexed="21"/>
      <name val="Calibri"/>
      <family val="2"/>
    </font>
    <font>
      <b/>
      <i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21"/>
      <name val="Calibri"/>
      <family val="2"/>
    </font>
    <font>
      <b/>
      <sz val="24"/>
      <color indexed="8"/>
      <name val="Calibri"/>
      <family val="2"/>
    </font>
    <font>
      <b/>
      <sz val="14"/>
      <color indexed="21"/>
      <name val="Calibri"/>
      <family val="2"/>
    </font>
    <font>
      <b/>
      <sz val="12"/>
      <color indexed="21"/>
      <name val="Calibri"/>
      <family val="2"/>
    </font>
    <font>
      <b/>
      <u val="single"/>
      <sz val="14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i/>
      <sz val="9"/>
      <color indexed="55"/>
      <name val="Calibri"/>
      <family val="2"/>
    </font>
    <font>
      <b/>
      <sz val="16"/>
      <name val="Calibri"/>
      <family val="2"/>
    </font>
    <font>
      <sz val="11"/>
      <color indexed="19"/>
      <name val="Calibri"/>
      <family val="2"/>
    </font>
    <font>
      <b/>
      <sz val="16"/>
      <color indexed="21"/>
      <name val="Calibri"/>
      <family val="2"/>
    </font>
    <font>
      <b/>
      <sz val="16"/>
      <color indexed="10"/>
      <name val="Calibri"/>
      <family val="2"/>
    </font>
    <font>
      <b/>
      <i/>
      <sz val="16"/>
      <color indexed="21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u val="single"/>
      <sz val="8"/>
      <color indexed="39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2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i/>
      <sz val="14"/>
      <color indexed="8"/>
      <name val="Calibri"/>
      <family val="2"/>
    </font>
    <font>
      <b/>
      <i/>
      <sz val="20"/>
      <name val="Calibri"/>
      <family val="2"/>
    </font>
    <font>
      <b/>
      <sz val="2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24"/>
      <color rgb="FF0070C0"/>
      <name val="Calibri"/>
      <family val="2"/>
    </font>
    <font>
      <b/>
      <i/>
      <sz val="16"/>
      <color theme="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0070C0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b/>
      <sz val="14"/>
      <color rgb="FF0070C0"/>
      <name val="Calibri"/>
      <family val="2"/>
    </font>
    <font>
      <b/>
      <i/>
      <sz val="12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20"/>
      <color rgb="FF00B050"/>
      <name val="Calibri"/>
      <family val="2"/>
    </font>
    <font>
      <b/>
      <i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00B050"/>
      <name val="Calibri"/>
      <family val="2"/>
    </font>
    <font>
      <b/>
      <sz val="14"/>
      <color rgb="FF00B050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0" tint="-0.3499799966812134"/>
      <name val="Calibri"/>
      <family val="2"/>
    </font>
    <font>
      <sz val="11"/>
      <color theme="6" tint="-0.4999699890613556"/>
      <name val="Calibri"/>
      <family val="2"/>
    </font>
    <font>
      <b/>
      <sz val="16"/>
      <color rgb="FF00B050"/>
      <name val="Calibri"/>
      <family val="2"/>
    </font>
    <font>
      <b/>
      <sz val="16"/>
      <color rgb="FFFF0000"/>
      <name val="Calibri"/>
      <family val="2"/>
    </font>
    <font>
      <b/>
      <i/>
      <sz val="16"/>
      <color rgb="FF00B050"/>
      <name val="Calibri"/>
      <family val="2"/>
    </font>
    <font>
      <sz val="10"/>
      <color rgb="FFFF0000"/>
      <name val="Calibri"/>
      <family val="2"/>
    </font>
    <font>
      <u val="single"/>
      <sz val="8"/>
      <color theme="10"/>
      <name val="Calibri"/>
      <family val="2"/>
    </font>
    <font>
      <b/>
      <i/>
      <sz val="10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0"/>
      <name val="Calibri"/>
      <family val="2"/>
    </font>
    <font>
      <i/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97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61" applyFont="1" applyAlignment="1">
      <alignment horizontal="center"/>
    </xf>
    <xf numFmtId="165" fontId="0" fillId="0" borderId="0" xfId="61" applyNumberFormat="1" applyFont="1" applyAlignment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wrapText="1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horizontal="right"/>
      <protection/>
    </xf>
    <xf numFmtId="0" fontId="104" fillId="0" borderId="0" xfId="0" applyFont="1" applyBorder="1" applyAlignment="1" applyProtection="1">
      <alignment horizontal="right" vertical="center" wrapText="1"/>
      <protection/>
    </xf>
    <xf numFmtId="0" fontId="105" fillId="0" borderId="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 locked="0"/>
    </xf>
    <xf numFmtId="168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106" fillId="0" borderId="0" xfId="0" applyFont="1" applyAlignment="1" applyProtection="1">
      <alignment horizontal="center" vertical="center"/>
      <protection/>
    </xf>
    <xf numFmtId="0" fontId="107" fillId="0" borderId="11" xfId="0" applyFont="1" applyBorder="1" applyAlignment="1" applyProtection="1">
      <alignment horizontal="right" vertical="center" wrapText="1"/>
      <protection/>
    </xf>
    <xf numFmtId="0" fontId="107" fillId="0" borderId="11" xfId="0" applyFont="1" applyBorder="1" applyAlignment="1" applyProtection="1">
      <alignment horizontal="right" vertical="center"/>
      <protection/>
    </xf>
    <xf numFmtId="0" fontId="34" fillId="0" borderId="11" xfId="0" applyFont="1" applyBorder="1" applyAlignment="1" applyProtection="1">
      <alignment horizontal="right" vertical="center"/>
      <protection/>
    </xf>
    <xf numFmtId="0" fontId="108" fillId="0" borderId="11" xfId="0" applyFont="1" applyBorder="1" applyAlignment="1" applyProtection="1">
      <alignment horizontal="right" vertical="center" wrapText="1"/>
      <protection/>
    </xf>
    <xf numFmtId="0" fontId="109" fillId="0" borderId="12" xfId="0" applyFont="1" applyBorder="1" applyAlignment="1" applyProtection="1">
      <alignment horizontal="center" vertical="center"/>
      <protection/>
    </xf>
    <xf numFmtId="166" fontId="110" fillId="0" borderId="10" xfId="0" applyNumberFormat="1" applyFont="1" applyBorder="1" applyAlignment="1" applyProtection="1">
      <alignment horizontal="center" vertical="center" wrapText="1"/>
      <protection/>
    </xf>
    <xf numFmtId="0" fontId="107" fillId="0" borderId="13" xfId="0" applyFont="1" applyBorder="1" applyAlignment="1" applyProtection="1">
      <alignment horizontal="right" vertical="center"/>
      <protection/>
    </xf>
    <xf numFmtId="0" fontId="97" fillId="0" borderId="14" xfId="0" applyFont="1" applyBorder="1" applyAlignment="1" applyProtection="1">
      <alignment horizontal="center" vertical="center"/>
      <protection/>
    </xf>
    <xf numFmtId="0" fontId="97" fillId="0" borderId="12" xfId="0" applyFont="1" applyBorder="1" applyAlignment="1" applyProtection="1">
      <alignment horizontal="center" vertical="center"/>
      <protection/>
    </xf>
    <xf numFmtId="0" fontId="107" fillId="0" borderId="15" xfId="0" applyFont="1" applyBorder="1" applyAlignment="1" applyProtection="1">
      <alignment horizontal="right" vertical="center"/>
      <protection/>
    </xf>
    <xf numFmtId="167" fontId="111" fillId="0" borderId="16" xfId="0" applyNumberFormat="1" applyFont="1" applyBorder="1" applyAlignment="1" applyProtection="1">
      <alignment horizontal="center" vertical="center"/>
      <protection/>
    </xf>
    <xf numFmtId="0" fontId="107" fillId="0" borderId="14" xfId="0" applyFont="1" applyBorder="1" applyAlignment="1" applyProtection="1">
      <alignment horizontal="center"/>
      <protection/>
    </xf>
    <xf numFmtId="0" fontId="107" fillId="0" borderId="0" xfId="0" applyFont="1" applyAlignment="1" applyProtection="1">
      <alignment horizontal="center"/>
      <protection/>
    </xf>
    <xf numFmtId="0" fontId="112" fillId="0" borderId="0" xfId="0" applyFont="1" applyAlignment="1" applyProtection="1">
      <alignment horizontal="center"/>
      <protection/>
    </xf>
    <xf numFmtId="0" fontId="97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7" fontId="32" fillId="0" borderId="10" xfId="44" applyNumberFormat="1" applyFont="1" applyBorder="1" applyAlignment="1" applyProtection="1">
      <alignment horizontal="center" vertical="center"/>
      <protection locked="0"/>
    </xf>
    <xf numFmtId="166" fontId="113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3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109" fillId="0" borderId="0" xfId="0" applyFont="1" applyBorder="1" applyAlignment="1" applyProtection="1">
      <alignment horizontal="center" vertical="center"/>
      <protection/>
    </xf>
    <xf numFmtId="0" fontId="114" fillId="0" borderId="0" xfId="0" applyFont="1" applyBorder="1" applyAlignment="1" applyProtection="1">
      <alignment horizontal="center" vertical="center" wrapText="1"/>
      <protection/>
    </xf>
    <xf numFmtId="166" fontId="110" fillId="0" borderId="0" xfId="0" applyNumberFormat="1" applyFont="1" applyBorder="1" applyAlignment="1" applyProtection="1">
      <alignment horizontal="center" vertical="center" wrapText="1"/>
      <protection/>
    </xf>
    <xf numFmtId="167" fontId="115" fillId="0" borderId="0" xfId="44" applyNumberFormat="1" applyFont="1" applyBorder="1" applyAlignment="1" applyProtection="1">
      <alignment horizontal="center" vertical="center"/>
      <protection/>
    </xf>
    <xf numFmtId="0" fontId="97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16" fillId="0" borderId="0" xfId="0" applyFont="1" applyFill="1" applyBorder="1" applyAlignment="1" applyProtection="1">
      <alignment horizontal="center" vertical="center" wrapText="1"/>
      <protection/>
    </xf>
    <xf numFmtId="0" fontId="117" fillId="0" borderId="0" xfId="0" applyFont="1" applyFill="1" applyBorder="1" applyAlignment="1" applyProtection="1">
      <alignment horizontal="center" vertical="center" wrapText="1"/>
      <protection/>
    </xf>
    <xf numFmtId="9" fontId="118" fillId="0" borderId="0" xfId="61" applyFont="1" applyFill="1" applyBorder="1" applyAlignment="1" applyProtection="1">
      <alignment horizontal="center" vertical="center"/>
      <protection/>
    </xf>
    <xf numFmtId="167" fontId="118" fillId="0" borderId="0" xfId="0" applyNumberFormat="1" applyFont="1" applyFill="1" applyBorder="1" applyAlignment="1" applyProtection="1">
      <alignment horizontal="center" vertical="center"/>
      <protection/>
    </xf>
    <xf numFmtId="0" fontId="119" fillId="0" borderId="0" xfId="0" applyFont="1" applyFill="1" applyBorder="1" applyAlignment="1" applyProtection="1">
      <alignment horizontal="center" vertical="top"/>
      <protection/>
    </xf>
    <xf numFmtId="0" fontId="102" fillId="0" borderId="0" xfId="0" applyFont="1" applyFill="1" applyBorder="1" applyAlignment="1" applyProtection="1">
      <alignment horizontal="center" wrapText="1"/>
      <protection/>
    </xf>
    <xf numFmtId="0" fontId="119" fillId="0" borderId="0" xfId="0" applyFont="1" applyFill="1" applyBorder="1" applyAlignment="1" applyProtection="1">
      <alignment vertical="top"/>
      <protection/>
    </xf>
    <xf numFmtId="1" fontId="120" fillId="0" borderId="10" xfId="0" applyNumberFormat="1" applyFont="1" applyBorder="1" applyAlignment="1" applyProtection="1">
      <alignment horizontal="center" vertical="center"/>
      <protection locked="0"/>
    </xf>
    <xf numFmtId="0" fontId="107" fillId="0" borderId="17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07" fillId="0" borderId="14" xfId="0" applyFont="1" applyBorder="1" applyAlignment="1" applyProtection="1">
      <alignment horizontal="center" wrapText="1"/>
      <protection/>
    </xf>
    <xf numFmtId="169" fontId="121" fillId="0" borderId="21" xfId="0" applyNumberFormat="1" applyFont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right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horizontal="center" vertical="center"/>
      <protection/>
    </xf>
    <xf numFmtId="167" fontId="122" fillId="0" borderId="10" xfId="44" applyNumberFormat="1" applyFont="1" applyBorder="1" applyAlignment="1" applyProtection="1">
      <alignment horizontal="center" vertical="center"/>
      <protection locked="0"/>
    </xf>
    <xf numFmtId="167" fontId="123" fillId="0" borderId="23" xfId="44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124" fillId="0" borderId="0" xfId="0" applyFont="1" applyAlignment="1">
      <alignment horizontal="center"/>
    </xf>
    <xf numFmtId="0" fontId="124" fillId="0" borderId="0" xfId="0" applyFont="1" applyAlignment="1">
      <alignment horizontal="center" wrapText="1"/>
    </xf>
    <xf numFmtId="171" fontId="12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6" fontId="32" fillId="0" borderId="10" xfId="0" applyNumberFormat="1" applyFont="1" applyBorder="1" applyAlignment="1" applyProtection="1">
      <alignment horizontal="center" vertical="center" wrapText="1"/>
      <protection locked="0"/>
    </xf>
    <xf numFmtId="167" fontId="32" fillId="0" borderId="10" xfId="44" applyNumberFormat="1" applyFont="1" applyBorder="1" applyAlignment="1" applyProtection="1">
      <alignment horizontal="center" vertical="center"/>
      <protection/>
    </xf>
    <xf numFmtId="0" fontId="109" fillId="0" borderId="2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20" xfId="0" applyFont="1" applyBorder="1" applyAlignment="1" applyProtection="1">
      <alignment horizontal="center" vertical="center" wrapText="1"/>
      <protection/>
    </xf>
    <xf numFmtId="166" fontId="110" fillId="0" borderId="20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125" fillId="33" borderId="11" xfId="0" applyFont="1" applyFill="1" applyBorder="1" applyAlignment="1" applyProtection="1">
      <alignment horizontal="center" vertical="center" wrapText="1"/>
      <protection/>
    </xf>
    <xf numFmtId="0" fontId="125" fillId="33" borderId="13" xfId="0" applyFont="1" applyFill="1" applyBorder="1" applyAlignment="1" applyProtection="1">
      <alignment horizontal="center" vertical="center" wrapText="1"/>
      <protection/>
    </xf>
    <xf numFmtId="0" fontId="126" fillId="33" borderId="19" xfId="0" applyFont="1" applyFill="1" applyBorder="1" applyAlignment="1" applyProtection="1">
      <alignment horizontal="center" wrapText="1"/>
      <protection/>
    </xf>
    <xf numFmtId="0" fontId="0" fillId="33" borderId="24" xfId="0" applyFill="1" applyBorder="1" applyAlignment="1" applyProtection="1">
      <alignment horizontal="center"/>
      <protection/>
    </xf>
    <xf numFmtId="167" fontId="127" fillId="0" borderId="10" xfId="44" applyNumberFormat="1" applyFont="1" applyBorder="1" applyAlignment="1" applyProtection="1">
      <alignment horizontal="center" vertical="center"/>
      <protection/>
    </xf>
    <xf numFmtId="166" fontId="82" fillId="0" borderId="0" xfId="0" applyNumberFormat="1" applyFont="1" applyAlignment="1" applyProtection="1">
      <alignment horizontal="center"/>
      <protection/>
    </xf>
    <xf numFmtId="167" fontId="57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128" fillId="33" borderId="24" xfId="0" applyFont="1" applyFill="1" applyBorder="1" applyAlignment="1" applyProtection="1">
      <alignment horizontal="center" vertical="center" wrapText="1"/>
      <protection/>
    </xf>
    <xf numFmtId="0" fontId="102" fillId="0" borderId="19" xfId="0" applyFont="1" applyBorder="1" applyAlignment="1" applyProtection="1">
      <alignment horizontal="center" vertical="center"/>
      <protection/>
    </xf>
    <xf numFmtId="0" fontId="116" fillId="0" borderId="20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4" fontId="59" fillId="0" borderId="22" xfId="44" applyNumberFormat="1" applyFont="1" applyFill="1" applyBorder="1" applyAlignment="1" applyProtection="1">
      <alignment horizontal="center" vertical="center"/>
      <protection/>
    </xf>
    <xf numFmtId="3" fontId="129" fillId="0" borderId="10" xfId="0" applyNumberFormat="1" applyFont="1" applyFill="1" applyBorder="1" applyAlignment="1" applyProtection="1">
      <alignment horizontal="center" vertical="center"/>
      <protection/>
    </xf>
    <xf numFmtId="4" fontId="59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7" fillId="0" borderId="14" xfId="0" applyFont="1" applyBorder="1" applyAlignment="1" applyProtection="1">
      <alignment horizontal="right" vertical="center"/>
      <protection/>
    </xf>
    <xf numFmtId="166" fontId="32" fillId="0" borderId="21" xfId="0" applyNumberFormat="1" applyFont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 horizontal="center" vertical="center"/>
      <protection/>
    </xf>
    <xf numFmtId="0" fontId="102" fillId="33" borderId="21" xfId="0" applyFont="1" applyFill="1" applyBorder="1" applyAlignment="1" applyProtection="1">
      <alignment horizontal="center" wrapText="1"/>
      <protection/>
    </xf>
    <xf numFmtId="0" fontId="102" fillId="33" borderId="24" xfId="0" applyFont="1" applyFill="1" applyBorder="1" applyAlignment="1" applyProtection="1">
      <alignment horizontal="center" wrapText="1"/>
      <protection/>
    </xf>
    <xf numFmtId="2" fontId="12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30" fillId="0" borderId="0" xfId="0" applyFont="1" applyAlignment="1" applyProtection="1">
      <alignment horizontal="right"/>
      <protection/>
    </xf>
    <xf numFmtId="166" fontId="113" fillId="0" borderId="22" xfId="0" applyNumberFormat="1" applyFont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 horizontal="left" vertical="center"/>
      <protection/>
    </xf>
    <xf numFmtId="1" fontId="0" fillId="33" borderId="21" xfId="0" applyNumberForma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/>
      <protection/>
    </xf>
    <xf numFmtId="167" fontId="127" fillId="0" borderId="25" xfId="44" applyNumberFormat="1" applyFont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right" vertical="center"/>
      <protection/>
    </xf>
    <xf numFmtId="0" fontId="62" fillId="2" borderId="19" xfId="0" applyFont="1" applyFill="1" applyBorder="1" applyAlignment="1" applyProtection="1" quotePrefix="1">
      <alignment horizontal="center" vertical="center" wrapText="1"/>
      <protection/>
    </xf>
    <xf numFmtId="0" fontId="62" fillId="2" borderId="17" xfId="0" applyFont="1" applyFill="1" applyBorder="1" applyAlignment="1" applyProtection="1">
      <alignment horizontal="left" vertical="center"/>
      <protection/>
    </xf>
    <xf numFmtId="0" fontId="62" fillId="2" borderId="18" xfId="0" applyFont="1" applyFill="1" applyBorder="1" applyAlignment="1" applyProtection="1">
      <alignment horizontal="left" vertical="center"/>
      <protection/>
    </xf>
    <xf numFmtId="0" fontId="41" fillId="33" borderId="16" xfId="0" applyFont="1" applyFill="1" applyBorder="1" applyAlignment="1" applyProtection="1" quotePrefix="1">
      <alignment horizontal="left" vertical="center"/>
      <protection/>
    </xf>
    <xf numFmtId="0" fontId="62" fillId="2" borderId="18" xfId="0" applyFont="1" applyFill="1" applyBorder="1" applyAlignment="1" applyProtection="1" quotePrefix="1">
      <alignment horizontal="left" vertical="center" wrapText="1"/>
      <protection/>
    </xf>
    <xf numFmtId="0" fontId="131" fillId="0" borderId="0" xfId="0" applyFont="1" applyAlignment="1" applyProtection="1">
      <alignment horizontal="center"/>
      <protection/>
    </xf>
    <xf numFmtId="8" fontId="132" fillId="2" borderId="13" xfId="0" applyNumberFormat="1" applyFont="1" applyFill="1" applyBorder="1" applyAlignment="1" applyProtection="1">
      <alignment horizontal="center" vertical="center"/>
      <protection/>
    </xf>
    <xf numFmtId="167" fontId="133" fillId="2" borderId="14" xfId="0" applyNumberFormat="1" applyFont="1" applyFill="1" applyBorder="1" applyAlignment="1" applyProtection="1">
      <alignment horizontal="left" vertical="center"/>
      <protection/>
    </xf>
    <xf numFmtId="8" fontId="132" fillId="2" borderId="14" xfId="0" applyNumberFormat="1" applyFont="1" applyFill="1" applyBorder="1" applyAlignment="1" applyProtection="1">
      <alignment horizontal="center" vertical="center"/>
      <protection/>
    </xf>
    <xf numFmtId="9" fontId="134" fillId="2" borderId="12" xfId="0" applyNumberFormat="1" applyFont="1" applyFill="1" applyBorder="1" applyAlignment="1" applyProtection="1">
      <alignment horizontal="center" vertical="center" wrapText="1"/>
      <protection/>
    </xf>
    <xf numFmtId="167" fontId="133" fillId="2" borderId="14" xfId="0" applyNumberFormat="1" applyFont="1" applyFill="1" applyBorder="1" applyAlignment="1" applyProtection="1" quotePrefix="1">
      <alignment horizontal="left" vertical="center"/>
      <protection/>
    </xf>
    <xf numFmtId="166" fontId="32" fillId="0" borderId="18" xfId="0" applyNumberFormat="1" applyFont="1" applyBorder="1" applyAlignment="1" applyProtection="1">
      <alignment horizontal="center" vertical="center" wrapText="1"/>
      <protection/>
    </xf>
    <xf numFmtId="166" fontId="32" fillId="0" borderId="0" xfId="0" applyNumberFormat="1" applyFont="1" applyBorder="1" applyAlignment="1" applyProtection="1">
      <alignment horizontal="center" vertical="center" wrapText="1"/>
      <protection/>
    </xf>
    <xf numFmtId="0" fontId="107" fillId="33" borderId="26" xfId="0" applyFont="1" applyFill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/>
      <protection/>
    </xf>
    <xf numFmtId="168" fontId="32" fillId="0" borderId="14" xfId="0" applyNumberFormat="1" applyFont="1" applyBorder="1" applyAlignment="1" applyProtection="1">
      <alignment horizontal="center" vertical="center" wrapText="1"/>
      <protection/>
    </xf>
    <xf numFmtId="0" fontId="116" fillId="0" borderId="1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vertical="center" wrapText="1"/>
      <protection/>
    </xf>
    <xf numFmtId="8" fontId="118" fillId="0" borderId="0" xfId="0" applyNumberFormat="1" applyFont="1" applyFill="1" applyBorder="1" applyAlignment="1" applyProtection="1">
      <alignment vertical="center"/>
      <protection/>
    </xf>
    <xf numFmtId="0" fontId="135" fillId="33" borderId="24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36" fillId="33" borderId="16" xfId="53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92" fillId="2" borderId="11" xfId="53" applyFill="1" applyBorder="1" applyAlignment="1" applyProtection="1">
      <alignment horizontal="right" vertical="center" wrapText="1"/>
      <protection/>
    </xf>
    <xf numFmtId="0" fontId="116" fillId="2" borderId="0" xfId="0" applyFont="1" applyFill="1" applyBorder="1" applyAlignment="1" applyProtection="1">
      <alignment horizontal="center" vertical="center" wrapText="1"/>
      <protection/>
    </xf>
    <xf numFmtId="0" fontId="137" fillId="2" borderId="11" xfId="0" applyFont="1" applyFill="1" applyBorder="1" applyAlignment="1" applyProtection="1" quotePrefix="1">
      <alignment horizontal="right" vertical="center"/>
      <protection/>
    </xf>
    <xf numFmtId="0" fontId="138" fillId="33" borderId="21" xfId="0" applyFont="1" applyFill="1" applyBorder="1" applyAlignment="1" applyProtection="1">
      <alignment horizontal="left" vertical="center" indent="3"/>
      <protection/>
    </xf>
    <xf numFmtId="0" fontId="0" fillId="0" borderId="0" xfId="0" applyFont="1" applyAlignment="1">
      <alignment/>
    </xf>
    <xf numFmtId="0" fontId="97" fillId="33" borderId="11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right" vertical="center"/>
    </xf>
    <xf numFmtId="167" fontId="97" fillId="0" borderId="22" xfId="0" applyNumberFormat="1" applyFont="1" applyBorder="1" applyAlignment="1" applyProtection="1">
      <alignment horizontal="center" vertical="center"/>
      <protection locked="0"/>
    </xf>
    <xf numFmtId="0" fontId="107" fillId="33" borderId="0" xfId="0" applyFont="1" applyFill="1" applyBorder="1" applyAlignment="1">
      <alignment horizontal="center" vertical="center" wrapText="1"/>
    </xf>
    <xf numFmtId="0" fontId="97" fillId="0" borderId="22" xfId="0" applyFont="1" applyBorder="1" applyAlignment="1" applyProtection="1">
      <alignment horizontal="center" vertical="center"/>
      <protection locked="0"/>
    </xf>
    <xf numFmtId="0" fontId="97" fillId="33" borderId="0" xfId="0" applyFont="1" applyFill="1" applyBorder="1" applyAlignment="1">
      <alignment horizontal="center" vertical="center"/>
    </xf>
    <xf numFmtId="0" fontId="97" fillId="33" borderId="20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167" fontId="97" fillId="0" borderId="10" xfId="0" applyNumberFormat="1" applyFont="1" applyBorder="1" applyAlignment="1" applyProtection="1">
      <alignment horizontal="center" vertical="center"/>
      <protection locked="0"/>
    </xf>
    <xf numFmtId="0" fontId="97" fillId="33" borderId="13" xfId="0" applyFont="1" applyFill="1" applyBorder="1" applyAlignment="1">
      <alignment/>
    </xf>
    <xf numFmtId="0" fontId="97" fillId="33" borderId="14" xfId="0" applyFont="1" applyFill="1" applyBorder="1" applyAlignment="1">
      <alignment/>
    </xf>
    <xf numFmtId="0" fontId="97" fillId="33" borderId="12" xfId="0" applyFont="1" applyFill="1" applyBorder="1" applyAlignment="1">
      <alignment/>
    </xf>
    <xf numFmtId="0" fontId="97" fillId="0" borderId="0" xfId="0" applyFont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vertical="center"/>
    </xf>
    <xf numFmtId="0" fontId="13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7" fillId="33" borderId="16" xfId="0" applyFont="1" applyFill="1" applyBorder="1" applyAlignment="1">
      <alignment/>
    </xf>
    <xf numFmtId="0" fontId="108" fillId="33" borderId="21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24" xfId="0" applyFont="1" applyFill="1" applyBorder="1" applyAlignment="1">
      <alignment/>
    </xf>
    <xf numFmtId="0" fontId="92" fillId="0" borderId="0" xfId="53" applyAlignment="1" applyProtection="1">
      <alignment vertical="center"/>
      <protection/>
    </xf>
    <xf numFmtId="0" fontId="138" fillId="2" borderId="0" xfId="0" applyFont="1" applyFill="1" applyBorder="1" applyAlignment="1" applyProtection="1">
      <alignment horizontal="center" vertical="center" wrapText="1"/>
      <protection/>
    </xf>
    <xf numFmtId="0" fontId="140" fillId="2" borderId="11" xfId="0" applyFont="1" applyFill="1" applyBorder="1" applyAlignment="1" applyProtection="1">
      <alignment horizontal="right" vertical="center"/>
      <protection/>
    </xf>
    <xf numFmtId="0" fontId="126" fillId="2" borderId="0" xfId="0" applyFont="1" applyFill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73" fillId="2" borderId="13" xfId="53" applyFont="1" applyFill="1" applyBorder="1" applyAlignment="1" applyProtection="1">
      <alignment horizontal="right" vertical="center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116" fillId="0" borderId="19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97" fillId="0" borderId="0" xfId="58">
      <alignment/>
      <protection/>
    </xf>
    <xf numFmtId="10" fontId="0" fillId="0" borderId="0" xfId="0" applyNumberFormat="1" applyAlignment="1">
      <alignment/>
    </xf>
    <xf numFmtId="0" fontId="102" fillId="0" borderId="0" xfId="0" applyFont="1" applyAlignment="1">
      <alignment horizontal="left" wrapText="1"/>
    </xf>
    <xf numFmtId="0" fontId="141" fillId="0" borderId="0" xfId="0" applyFont="1" applyAlignment="1">
      <alignment horizontal="center" vertical="center"/>
    </xf>
    <xf numFmtId="0" fontId="142" fillId="0" borderId="0" xfId="0" applyFont="1" applyAlignment="1">
      <alignment horizontal="left"/>
    </xf>
    <xf numFmtId="0" fontId="120" fillId="0" borderId="0" xfId="0" applyFont="1" applyAlignment="1">
      <alignment horizontal="left"/>
    </xf>
    <xf numFmtId="0" fontId="79" fillId="2" borderId="17" xfId="0" applyFont="1" applyFill="1" applyBorder="1" applyAlignment="1" applyProtection="1">
      <alignment horizontal="center" vertical="center"/>
      <protection/>
    </xf>
    <xf numFmtId="0" fontId="79" fillId="2" borderId="13" xfId="0" applyFont="1" applyFill="1" applyBorder="1" applyAlignment="1" applyProtection="1">
      <alignment horizontal="center" vertical="center"/>
      <protection/>
    </xf>
    <xf numFmtId="0" fontId="117" fillId="0" borderId="11" xfId="0" applyFont="1" applyBorder="1" applyAlignment="1" applyProtection="1">
      <alignment horizontal="center" vertical="center"/>
      <protection/>
    </xf>
    <xf numFmtId="0" fontId="117" fillId="0" borderId="20" xfId="0" applyFont="1" applyBorder="1" applyAlignment="1" applyProtection="1">
      <alignment horizontal="center" vertical="center"/>
      <protection/>
    </xf>
    <xf numFmtId="0" fontId="67" fillId="2" borderId="18" xfId="0" applyFont="1" applyFill="1" applyBorder="1" applyAlignment="1" applyProtection="1">
      <alignment horizontal="center" vertical="center" wrapText="1"/>
      <protection/>
    </xf>
    <xf numFmtId="0" fontId="67" fillId="2" borderId="14" xfId="0" applyFont="1" applyFill="1" applyBorder="1" applyAlignment="1" applyProtection="1">
      <alignment horizontal="center" vertical="center" wrapText="1"/>
      <protection/>
    </xf>
    <xf numFmtId="167" fontId="76" fillId="2" borderId="18" xfId="0" applyNumberFormat="1" applyFont="1" applyFill="1" applyBorder="1" applyAlignment="1" applyProtection="1">
      <alignment horizontal="center" vertical="center"/>
      <protection/>
    </xf>
    <xf numFmtId="167" fontId="76" fillId="2" borderId="14" xfId="0" applyNumberFormat="1" applyFont="1" applyFill="1" applyBorder="1" applyAlignment="1" applyProtection="1">
      <alignment horizontal="center" vertical="center"/>
      <protection/>
    </xf>
    <xf numFmtId="0" fontId="116" fillId="2" borderId="19" xfId="0" applyFont="1" applyFill="1" applyBorder="1" applyAlignment="1" applyProtection="1">
      <alignment horizontal="center" vertical="center" wrapText="1"/>
      <protection/>
    </xf>
    <xf numFmtId="0" fontId="116" fillId="2" borderId="12" xfId="0" applyFont="1" applyFill="1" applyBorder="1" applyAlignment="1" applyProtection="1">
      <alignment horizontal="center" vertical="center" wrapText="1"/>
      <protection/>
    </xf>
    <xf numFmtId="9" fontId="143" fillId="0" borderId="0" xfId="61" applyFont="1" applyFill="1" applyBorder="1" applyAlignment="1" applyProtection="1">
      <alignment horizontal="center" vertical="center"/>
      <protection/>
    </xf>
    <xf numFmtId="0" fontId="107" fillId="0" borderId="18" xfId="0" applyFont="1" applyBorder="1" applyAlignment="1" applyProtection="1">
      <alignment horizontal="right" vertical="top"/>
      <protection/>
    </xf>
    <xf numFmtId="0" fontId="76" fillId="0" borderId="0" xfId="0" applyFont="1" applyAlignment="1" applyProtection="1">
      <alignment horizontal="right" vertical="center"/>
      <protection/>
    </xf>
    <xf numFmtId="0" fontId="118" fillId="0" borderId="0" xfId="0" applyFont="1" applyBorder="1" applyAlignment="1" applyProtection="1">
      <alignment horizontal="left" vertical="center" indent="2"/>
      <protection/>
    </xf>
    <xf numFmtId="0" fontId="41" fillId="33" borderId="16" xfId="0" applyFont="1" applyFill="1" applyBorder="1" applyAlignment="1" applyProtection="1">
      <alignment horizontal="left" vertical="center" wrapText="1"/>
      <protection/>
    </xf>
    <xf numFmtId="0" fontId="41" fillId="33" borderId="21" xfId="0" applyFont="1" applyFill="1" applyBorder="1" applyAlignment="1" applyProtection="1">
      <alignment horizontal="left" vertical="center" wrapText="1"/>
      <protection/>
    </xf>
    <xf numFmtId="0" fontId="144" fillId="0" borderId="21" xfId="0" applyFont="1" applyBorder="1" applyAlignment="1" applyProtection="1">
      <alignment horizontal="center" vertical="center"/>
      <protection/>
    </xf>
    <xf numFmtId="0" fontId="117" fillId="0" borderId="11" xfId="0" applyFont="1" applyFill="1" applyBorder="1" applyAlignment="1" applyProtection="1">
      <alignment horizontal="center" vertical="center" wrapText="1"/>
      <protection/>
    </xf>
    <xf numFmtId="0" fontId="117" fillId="0" borderId="20" xfId="0" applyFont="1" applyFill="1" applyBorder="1" applyAlignment="1" applyProtection="1">
      <alignment horizontal="center" vertical="center" wrapText="1"/>
      <protection/>
    </xf>
    <xf numFmtId="170" fontId="34" fillId="2" borderId="14" xfId="0" applyNumberFormat="1" applyFont="1" applyFill="1" applyBorder="1" applyAlignment="1" applyProtection="1">
      <alignment horizontal="left" vertical="center" indent="1"/>
      <protection/>
    </xf>
    <xf numFmtId="170" fontId="34" fillId="2" borderId="12" xfId="0" applyNumberFormat="1" applyFont="1" applyFill="1" applyBorder="1" applyAlignment="1" applyProtection="1">
      <alignment horizontal="left" vertical="center" indent="1"/>
      <protection/>
    </xf>
    <xf numFmtId="0" fontId="145" fillId="0" borderId="0" xfId="0" applyFont="1" applyBorder="1" applyAlignment="1" applyProtection="1">
      <alignment horizontal="left" vertical="center" indent="2"/>
      <protection/>
    </xf>
    <xf numFmtId="0" fontId="62" fillId="2" borderId="17" xfId="0" applyFont="1" applyFill="1" applyBorder="1" applyAlignment="1" applyProtection="1">
      <alignment horizontal="left" vertical="center"/>
      <protection/>
    </xf>
    <xf numFmtId="0" fontId="62" fillId="2" borderId="18" xfId="0" applyFont="1" applyFill="1" applyBorder="1" applyAlignment="1" applyProtection="1">
      <alignment horizontal="left" vertical="center"/>
      <protection/>
    </xf>
    <xf numFmtId="0" fontId="62" fillId="2" borderId="18" xfId="0" applyFont="1" applyFill="1" applyBorder="1" applyAlignment="1" applyProtection="1" quotePrefix="1">
      <alignment horizontal="left" vertical="center" wrapText="1"/>
      <protection/>
    </xf>
    <xf numFmtId="0" fontId="62" fillId="2" borderId="19" xfId="0" applyFont="1" applyFill="1" applyBorder="1" applyAlignment="1" applyProtection="1" quotePrefix="1">
      <alignment horizontal="left" vertical="center" wrapText="1"/>
      <protection/>
    </xf>
    <xf numFmtId="0" fontId="142" fillId="0" borderId="10" xfId="0" applyFont="1" applyBorder="1" applyAlignment="1" applyProtection="1">
      <alignment horizontal="center" vertical="center"/>
      <protection locked="0"/>
    </xf>
    <xf numFmtId="7" fontId="120" fillId="0" borderId="10" xfId="44" applyNumberFormat="1" applyFont="1" applyBorder="1" applyAlignment="1" applyProtection="1">
      <alignment horizontal="center" vertical="center"/>
      <protection locked="0"/>
    </xf>
    <xf numFmtId="0" fontId="146" fillId="0" borderId="10" xfId="0" applyFont="1" applyBorder="1" applyAlignment="1" applyProtection="1">
      <alignment horizontal="center" vertical="center"/>
      <protection/>
    </xf>
    <xf numFmtId="0" fontId="142" fillId="0" borderId="0" xfId="0" applyFont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0"/>
      </font>
    </dxf>
    <dxf>
      <font>
        <color theme="4" tint="0.7999799847602844"/>
      </font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ont>
        <color theme="4" tint="0.7999799847602844"/>
      </font>
    </dxf>
    <dxf>
      <font>
        <color theme="4" tint="0.7999799847602844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MF%20Add-In\RCH_Stock_Market_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I20"/>
  <sheetViews>
    <sheetView showGridLines="0" showRowColHeaders="0" tabSelected="1" zoomScalePageLayoutView="0" workbookViewId="0" topLeftCell="A1">
      <selection activeCell="C7" sqref="C7"/>
    </sheetView>
  </sheetViews>
  <sheetFormatPr defaultColWidth="8.8515625" defaultRowHeight="15"/>
  <cols>
    <col min="1" max="1" width="3.7109375" style="0" customWidth="1"/>
    <col min="2" max="2" width="28.421875" style="0" customWidth="1"/>
    <col min="3" max="3" width="12.8515625" style="0" customWidth="1"/>
    <col min="4" max="4" width="23.8515625" style="0" customWidth="1"/>
    <col min="5" max="5" width="11.7109375" style="0" customWidth="1"/>
    <col min="6" max="6" width="3.140625" style="0" customWidth="1"/>
    <col min="7" max="7" width="19.8515625" style="0" customWidth="1"/>
    <col min="8" max="8" width="13.8515625" style="0" customWidth="1"/>
    <col min="9" max="9" width="3.140625" style="0" customWidth="1"/>
  </cols>
  <sheetData>
    <row r="1" ht="12" customHeight="1"/>
    <row r="2" spans="2:8" ht="30" customHeight="1">
      <c r="B2" s="172" t="s">
        <v>66</v>
      </c>
      <c r="C2" s="172"/>
      <c r="D2" s="172"/>
      <c r="E2" s="172"/>
      <c r="F2" s="172"/>
      <c r="G2" s="172"/>
      <c r="H2" s="172"/>
    </row>
    <row r="3" ht="15">
      <c r="H3" s="102" t="str">
        <f>"Version "&amp;TEXT(Version,"0.00")</f>
        <v>Version 3.00</v>
      </c>
    </row>
    <row r="4" spans="2:8" s="138" customFormat="1" ht="66.75" customHeight="1">
      <c r="B4" s="171" t="s">
        <v>56</v>
      </c>
      <c r="C4" s="171"/>
      <c r="D4" s="171"/>
      <c r="E4" s="171"/>
      <c r="F4" s="171"/>
      <c r="G4" s="171"/>
      <c r="H4" s="171"/>
    </row>
    <row r="5" s="152" customFormat="1" ht="18.75" customHeight="1">
      <c r="B5" s="153" t="s">
        <v>55</v>
      </c>
    </row>
    <row r="6" s="152" customFormat="1" ht="8.25" customHeight="1">
      <c r="B6" s="153"/>
    </row>
    <row r="7" spans="2:5" s="152" customFormat="1" ht="24.75" customHeight="1">
      <c r="B7" s="204" t="s">
        <v>74</v>
      </c>
      <c r="C7" s="201"/>
      <c r="D7" s="204" t="s">
        <v>73</v>
      </c>
      <c r="E7" s="202"/>
    </row>
    <row r="8" ht="10.5" customHeight="1"/>
    <row r="9" spans="1:9" s="151" customFormat="1" ht="15.75">
      <c r="A9" s="156"/>
      <c r="B9" s="157" t="s">
        <v>44</v>
      </c>
      <c r="C9" s="158"/>
      <c r="D9" s="158"/>
      <c r="E9" s="158"/>
      <c r="F9" s="158"/>
      <c r="G9" s="158"/>
      <c r="H9" s="158"/>
      <c r="I9" s="159"/>
    </row>
    <row r="10" spans="1:9" s="146" customFormat="1" ht="51" customHeight="1">
      <c r="A10" s="139"/>
      <c r="B10" s="140" t="s">
        <v>45</v>
      </c>
      <c r="C10" s="141">
        <v>4.95</v>
      </c>
      <c r="D10" s="142" t="s">
        <v>33</v>
      </c>
      <c r="E10" s="143">
        <v>0</v>
      </c>
      <c r="F10" s="144"/>
      <c r="G10" s="142" t="s">
        <v>47</v>
      </c>
      <c r="H10" s="141">
        <v>4.95</v>
      </c>
      <c r="I10" s="145"/>
    </row>
    <row r="11" spans="1:9" s="146" customFormat="1" ht="47.25" customHeight="1">
      <c r="A11" s="139"/>
      <c r="B11" s="140" t="s">
        <v>46</v>
      </c>
      <c r="C11" s="147">
        <v>0.65</v>
      </c>
      <c r="D11" s="144"/>
      <c r="E11" s="144"/>
      <c r="F11" s="144"/>
      <c r="G11" s="144"/>
      <c r="H11" s="144"/>
      <c r="I11" s="145"/>
    </row>
    <row r="12" spans="1:9" s="151" customFormat="1" ht="8.25" customHeight="1">
      <c r="A12" s="148"/>
      <c r="B12" s="149"/>
      <c r="C12" s="149"/>
      <c r="D12" s="149"/>
      <c r="E12" s="149"/>
      <c r="F12" s="149"/>
      <c r="G12" s="149"/>
      <c r="H12" s="149"/>
      <c r="I12" s="150"/>
    </row>
    <row r="13" ht="9" customHeight="1"/>
    <row r="14" s="94" customFormat="1" ht="24.75" customHeight="1">
      <c r="B14" s="160"/>
    </row>
    <row r="16" s="94" customFormat="1" ht="24.75" customHeight="1">
      <c r="B16" s="160"/>
    </row>
    <row r="17" ht="8.25" customHeight="1"/>
    <row r="18" spans="2:7" s="138" customFormat="1" ht="18.75">
      <c r="B18" s="154" t="s">
        <v>51</v>
      </c>
      <c r="C18" s="174" t="s">
        <v>53</v>
      </c>
      <c r="D18" s="174"/>
      <c r="E18" s="174"/>
      <c r="F18" s="174"/>
      <c r="G18" s="174"/>
    </row>
    <row r="19" spans="2:5" s="138" customFormat="1" ht="9.75" customHeight="1">
      <c r="B19" s="154"/>
      <c r="C19" s="155"/>
      <c r="D19" s="155"/>
      <c r="E19" s="155"/>
    </row>
    <row r="20" spans="2:7" s="138" customFormat="1" ht="18.75">
      <c r="B20" s="154" t="s">
        <v>52</v>
      </c>
      <c r="C20" s="173" t="s">
        <v>54</v>
      </c>
      <c r="D20" s="173"/>
      <c r="E20" s="173"/>
      <c r="F20" s="173"/>
      <c r="G20" s="173"/>
    </row>
  </sheetData>
  <sheetProtection sheet="1" selectLockedCells="1"/>
  <mergeCells count="4">
    <mergeCell ref="B4:H4"/>
    <mergeCell ref="B2:H2"/>
    <mergeCell ref="C20:G20"/>
    <mergeCell ref="C18:G18"/>
  </mergeCells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8"/>
  <sheetViews>
    <sheetView showGridLines="0" showRowColHeaders="0" showZeros="0" zoomScalePageLayoutView="0" workbookViewId="0" topLeftCell="A1">
      <selection activeCell="B9" sqref="B9"/>
    </sheetView>
  </sheetViews>
  <sheetFormatPr defaultColWidth="11.421875" defaultRowHeight="15"/>
  <cols>
    <col min="1" max="1" width="34.28125" style="11" customWidth="1"/>
    <col min="2" max="2" width="16.421875" style="11" customWidth="1"/>
    <col min="3" max="3" width="19.140625" style="11" customWidth="1"/>
    <col min="4" max="4" width="37.140625" style="11" customWidth="1"/>
    <col min="5" max="7" width="18.00390625" style="11" customWidth="1"/>
    <col min="8" max="8" width="2.140625" style="35" customWidth="1"/>
    <col min="9" max="9" width="11.140625" style="11" customWidth="1"/>
    <col min="10" max="10" width="5.00390625" style="11" customWidth="1"/>
    <col min="11" max="11" width="5.7109375" style="11" customWidth="1"/>
    <col min="12" max="16384" width="11.421875" style="11" customWidth="1"/>
  </cols>
  <sheetData>
    <row r="1" spans="1:9" s="33" customFormat="1" ht="21" customHeight="1">
      <c r="A1" s="187" t="s">
        <v>66</v>
      </c>
      <c r="B1" s="187"/>
      <c r="C1" s="187"/>
      <c r="D1" s="187"/>
      <c r="E1" s="188" t="s">
        <v>5</v>
      </c>
      <c r="F1" s="188"/>
      <c r="I1" s="102" t="str">
        <f>"Version "&amp;TEXT(Version,"0.00")</f>
        <v>Version 3.00</v>
      </c>
    </row>
    <row r="2" spans="1:4" ht="4.5" customHeight="1">
      <c r="A2" s="14"/>
      <c r="B2" s="14"/>
      <c r="C2" s="14"/>
      <c r="D2" s="14"/>
    </row>
    <row r="3" spans="4:8" s="9" customFormat="1" ht="25.5" customHeight="1">
      <c r="D3" s="97" t="s">
        <v>6</v>
      </c>
      <c r="E3" s="98"/>
      <c r="F3" s="98"/>
      <c r="G3" s="99"/>
      <c r="H3" s="53"/>
    </row>
    <row r="4" spans="1:8" s="10" customFormat="1" ht="31.5" customHeight="1">
      <c r="A4" s="32" t="s">
        <v>50</v>
      </c>
      <c r="B4" s="31" t="s">
        <v>10</v>
      </c>
      <c r="C4" s="60"/>
      <c r="D4" s="23"/>
      <c r="G4" s="24"/>
      <c r="H4" s="42"/>
    </row>
    <row r="5" spans="1:14" s="10" customFormat="1" ht="33" customHeight="1">
      <c r="A5" s="203">
        <f>+Ticker</f>
        <v>0</v>
      </c>
      <c r="B5" s="30">
        <f>+Last</f>
        <v>0</v>
      </c>
      <c r="C5" s="61"/>
      <c r="D5" s="62" t="s">
        <v>7</v>
      </c>
      <c r="E5" s="63" t="str">
        <f>IF(Dates!B14=Dates!D11,"Front Month 
(less than week)","Weekly 
(if Available)")</f>
        <v>Front Month 
(less than week)</v>
      </c>
      <c r="F5" s="63" t="str">
        <f>IF(Dates!B14=Dates!D11,"Second Month","Front Month")</f>
        <v>Second Month</v>
      </c>
      <c r="G5" s="63" t="str">
        <f>IF(Dates!B14=Dates!D11,"Third Month","Second Month")</f>
        <v>Third Month</v>
      </c>
      <c r="H5" s="43"/>
      <c r="K5" s="15"/>
      <c r="L5" s="16">
        <f>+Dates!C14</f>
        <v>5</v>
      </c>
      <c r="M5" s="16">
        <f>+Dates!C15</f>
        <v>33</v>
      </c>
      <c r="N5" s="16">
        <f>+Dates!C16</f>
        <v>68</v>
      </c>
    </row>
    <row r="6" spans="1:8" s="8" customFormat="1" ht="24.75" customHeight="1">
      <c r="A6" s="191"/>
      <c r="B6" s="191"/>
      <c r="C6" s="191"/>
      <c r="D6" s="34"/>
      <c r="E6" s="25">
        <f>IF(+Dates!E14=F6,"",Dates!E14)</f>
        <v>43057</v>
      </c>
      <c r="F6" s="25">
        <f>+Dates!E15</f>
        <v>43085</v>
      </c>
      <c r="G6" s="25">
        <f>+Dates!E16</f>
        <v>43120</v>
      </c>
      <c r="H6" s="44"/>
    </row>
    <row r="7" spans="1:14" s="8" customFormat="1" ht="24.75" customHeight="1" thickBot="1">
      <c r="A7" s="189" t="s">
        <v>57</v>
      </c>
      <c r="B7" s="190"/>
      <c r="C7" s="87"/>
      <c r="D7" s="22" t="s">
        <v>17</v>
      </c>
      <c r="E7" s="66">
        <f>IF(E6="","",IF(B5&lt;&gt;"",0.2*Last/365*L7+tradecost/100,""))</f>
        <v>0.0495</v>
      </c>
      <c r="F7" s="66">
        <f>IF(F6="","",IF(B5&lt;&gt;"",0.2*Last/365*M7+tradecost/100,""))</f>
        <v>0.0495</v>
      </c>
      <c r="G7" s="66">
        <f>IF(G6="","",IF(B5&lt;&gt;"",0.2*Last/365*N7+tradecost/100,""))</f>
        <v>0.0495</v>
      </c>
      <c r="H7" s="45"/>
      <c r="L7" s="19">
        <f ca="1">+E6-TODAY()</f>
        <v>5</v>
      </c>
      <c r="M7" s="19">
        <f ca="1">+F6-TODAY()</f>
        <v>33</v>
      </c>
      <c r="N7" s="19">
        <f ca="1">+G6-TODAY()</f>
        <v>68</v>
      </c>
    </row>
    <row r="8" spans="1:8" s="8" customFormat="1" ht="24.75" customHeight="1">
      <c r="A8" s="133"/>
      <c r="B8" s="133"/>
      <c r="C8" s="133"/>
      <c r="D8" s="26" t="str">
        <f>IF(B13="Calls","Look for strikes above: ","Look for strikes below: ")</f>
        <v>Look for strikes below: </v>
      </c>
      <c r="E8" s="64">
        <f>IF(B13="Calls",MAX(B14,ROUNDUP(B5,0)),MAX(B10,B12))</f>
        <v>0</v>
      </c>
      <c r="F8" s="27"/>
      <c r="G8" s="28"/>
      <c r="H8" s="46"/>
    </row>
    <row r="9" spans="1:8" s="12" customFormat="1" ht="24.75" customHeight="1">
      <c r="A9" s="134"/>
      <c r="B9" s="18"/>
      <c r="C9" s="163" t="s">
        <v>58</v>
      </c>
      <c r="D9" s="38" t="s">
        <v>9</v>
      </c>
      <c r="E9" s="39"/>
      <c r="F9" s="39"/>
      <c r="G9" s="40"/>
      <c r="H9" s="47"/>
    </row>
    <row r="10" spans="1:8" s="12" customFormat="1" ht="24.75" customHeight="1">
      <c r="A10" s="136"/>
      <c r="B10" s="18"/>
      <c r="C10" s="163" t="s">
        <v>59</v>
      </c>
      <c r="D10" s="56" t="s">
        <v>8</v>
      </c>
      <c r="E10" s="36"/>
      <c r="F10" s="166">
        <f>IF(E10&gt;0,IF(B13="Calls","REMEMBER: You may SELL at $"&amp;TEXT(ROUNDUP(E10,0),"0"),"REMEMBER: You may BUY at $"&amp;TEXT(ROUNDUP(E10,0),"0")),"")</f>
      </c>
      <c r="G10" s="167">
        <f>IF(AND(E10&gt;0,E10&lt;B14,B13="Calls"),"Strike is below basis price!",IF(AND(E10&gt;0,E10&gt;E8,B13="PUTS"),"Strike above Bollinger",IF(AND(E10&gt;0,E10&lt;B5),"Strike is in the money!","")))</f>
      </c>
      <c r="H10" s="48"/>
    </row>
    <row r="11" spans="1:8" s="13" customFormat="1" ht="24.75" customHeight="1">
      <c r="A11" s="136"/>
      <c r="B11" s="18"/>
      <c r="C11" s="163" t="s">
        <v>58</v>
      </c>
      <c r="D11" s="21" t="s">
        <v>11</v>
      </c>
      <c r="E11" s="37"/>
      <c r="F11" s="192">
        <f>IF(B16=0,"",IF(E11&gt;B16,"Ex-Dividend before Expiration",""))</f>
      </c>
      <c r="G11" s="193"/>
      <c r="H11" s="49"/>
    </row>
    <row r="12" spans="1:8" ht="24.75" customHeight="1">
      <c r="A12" s="136"/>
      <c r="B12" s="18"/>
      <c r="C12" s="163" t="s">
        <v>59</v>
      </c>
      <c r="D12" s="21" t="s">
        <v>12</v>
      </c>
      <c r="E12" s="65"/>
      <c r="F12" s="57"/>
      <c r="G12" s="58"/>
      <c r="H12" s="50"/>
    </row>
    <row r="13" spans="1:8" ht="24.75" customHeight="1">
      <c r="A13" s="162" t="s">
        <v>60</v>
      </c>
      <c r="B13" s="17"/>
      <c r="C13" s="135"/>
      <c r="D13" s="29" t="s">
        <v>13</v>
      </c>
      <c r="E13" s="55"/>
      <c r="F13" s="177"/>
      <c r="G13" s="178"/>
      <c r="H13" s="50"/>
    </row>
    <row r="14" spans="1:11" ht="24.75" customHeight="1">
      <c r="A14" s="162" t="str">
        <f>IF(B13="Calls","Basis price of shares owned?","Cash available for puts?")</f>
        <v>Cash available for puts?</v>
      </c>
      <c r="B14" s="18"/>
      <c r="C14" s="135"/>
      <c r="D14" s="21"/>
      <c r="E14" s="96"/>
      <c r="F14" s="95"/>
      <c r="G14" s="59"/>
      <c r="H14" s="51"/>
      <c r="I14" s="132"/>
      <c r="J14" s="82"/>
      <c r="K14" s="81" t="s">
        <v>30</v>
      </c>
    </row>
    <row r="15" spans="1:11" ht="24.75" customHeight="1">
      <c r="A15" s="162">
        <f>IF(B13="Calls","Number of shares owned?","")</f>
      </c>
      <c r="B15" s="41"/>
      <c r="C15" s="161">
        <f>IF(B13="Puts","",IF(B15&gt;0,"Max contracts = "&amp;TEXT(ROUNDDOWN(B15/100,0),"0"),""))</f>
      </c>
      <c r="D15" s="175" t="str">
        <f>IF(E13=0,"APR","APR    "&amp;TEXT(E17,"0%"))</f>
        <v>APR</v>
      </c>
      <c r="E15" s="179" t="s">
        <v>16</v>
      </c>
      <c r="F15" s="181">
        <f>IF(E13=0,,+E13*E12*100-commission)</f>
        <v>0</v>
      </c>
      <c r="G15" s="183">
        <f>IF(AND(F15&lt;100,F15&gt;0),"Total collected less than $100","")</f>
      </c>
      <c r="H15" s="51"/>
      <c r="I15" s="79" t="s">
        <v>14</v>
      </c>
      <c r="J15" s="91">
        <f>+'Getting Started'!C10</f>
        <v>4.95</v>
      </c>
      <c r="K15" s="92">
        <f>+'Getting Started'!E10</f>
        <v>0</v>
      </c>
    </row>
    <row r="16" spans="1:11" ht="24.75" customHeight="1">
      <c r="A16" s="165" t="s">
        <v>64</v>
      </c>
      <c r="B16" s="194">
        <f>IF(Ticker="SPY",'SPY Ex-Div'!D5,IF(Ticker="IWM","Go Check",""))</f>
      </c>
      <c r="C16" s="195"/>
      <c r="D16" s="176"/>
      <c r="E16" s="180"/>
      <c r="F16" s="182"/>
      <c r="G16" s="184"/>
      <c r="H16" s="52"/>
      <c r="I16" s="80" t="s">
        <v>15</v>
      </c>
      <c r="J16" s="93">
        <f>+'Getting Started'!C11</f>
        <v>0.65</v>
      </c>
      <c r="K16" s="78"/>
    </row>
    <row r="17" spans="1:5" ht="22.5" customHeight="1">
      <c r="A17" s="186">
        <f>IF(AND(Ticker="IWM",B13="Calls"),"Ex-Dividend is around the 3rd Friday of Mar, Jun, Sep, Dec","")</f>
      </c>
      <c r="B17" s="186"/>
      <c r="C17" s="186"/>
      <c r="E17" s="185">
        <f ca="1">IF(E13&gt;0,((E12*100*E13)-commission)/(Last*E13*100)*365/(E11-TODAY()),"")</f>
      </c>
    </row>
    <row r="18" spans="5:7" ht="18.75">
      <c r="E18" s="185"/>
      <c r="G18" s="54"/>
    </row>
  </sheetData>
  <sheetProtection sheet="1" selectLockedCells="1"/>
  <mergeCells count="13">
    <mergeCell ref="A17:C17"/>
    <mergeCell ref="A1:D1"/>
    <mergeCell ref="E1:F1"/>
    <mergeCell ref="A7:B7"/>
    <mergeCell ref="A6:C6"/>
    <mergeCell ref="F11:G11"/>
    <mergeCell ref="B16:C16"/>
    <mergeCell ref="D15:D16"/>
    <mergeCell ref="F13:G13"/>
    <mergeCell ref="E15:E16"/>
    <mergeCell ref="F15:F16"/>
    <mergeCell ref="G15:G16"/>
    <mergeCell ref="E17:E18"/>
  </mergeCells>
  <conditionalFormatting sqref="A14:A15">
    <cfRule type="expression" priority="6" dxfId="9" stopIfTrue="1">
      <formula>IF($B$13=0,TRUE(),FALSE())</formula>
    </cfRule>
  </conditionalFormatting>
  <conditionalFormatting sqref="B15">
    <cfRule type="expression" priority="5" dxfId="6" stopIfTrue="1">
      <formula>IF($B$13="Puts",TRUE(),FALSE())</formula>
    </cfRule>
  </conditionalFormatting>
  <conditionalFormatting sqref="B14:B15">
    <cfRule type="expression" priority="4" dxfId="6" stopIfTrue="1">
      <formula>IF($B$13=0,TRUE(),FALSE())</formula>
    </cfRule>
  </conditionalFormatting>
  <conditionalFormatting sqref="A16:C16">
    <cfRule type="expression" priority="3" dxfId="9" stopIfTrue="1">
      <formula>IF($B$13="Puts",TRUE(),FALSE())</formula>
    </cfRule>
  </conditionalFormatting>
  <conditionalFormatting sqref="F11:G11">
    <cfRule type="expression" priority="2" dxfId="10" stopIfTrue="1">
      <formula>IF($B$13="Puts",TRUE(),FALSE())</formula>
    </cfRule>
  </conditionalFormatting>
  <dataValidations count="6">
    <dataValidation type="whole" operator="greaterThan" allowBlank="1" showInputMessage="1" showErrorMessage="1" sqref="B14">
      <formula1>0</formula1>
    </dataValidation>
    <dataValidation type="list" allowBlank="1" showInputMessage="1" showErrorMessage="1" sqref="E11">
      <formula1>longlist</formula1>
    </dataValidation>
    <dataValidation allowBlank="1" showInputMessage="1" showErrorMessage="1" sqref="E1:F1"/>
    <dataValidation type="list" allowBlank="1" showInputMessage="1" showErrorMessage="1" sqref="B13">
      <formula1>"Calls,Puts"</formula1>
    </dataValidation>
    <dataValidation type="whole" operator="lessThanOrEqual" allowBlank="1" showInputMessage="1" showErrorMessage="1" errorTitle="Not Enough Shares" error="You do not have enough shares for that number of contracts. " sqref="E13">
      <formula1>IF(B15&gt;0,B15/100,B14/E10/100)</formula1>
    </dataValidation>
    <dataValidation operator="greaterThan" allowBlank="1" showInputMessage="1" showErrorMessage="1" errorTitle="Please Enter Next Ex-Dividend" error="That date is in the past ...please input the next Ex-Dividend date in the future.  &#10;If unknown add 3 months to last for an aproximate date." sqref="B16"/>
  </dataValidations>
  <printOptions/>
  <pageMargins left="0.7" right="0.7" top="0.75" bottom="0.75" header="0.3" footer="0.3"/>
  <pageSetup horizontalDpi="600" verticalDpi="6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26"/>
  <sheetViews>
    <sheetView showGridLines="0" showRowColHeaders="0" showZeros="0" zoomScalePageLayoutView="0" workbookViewId="0" topLeftCell="A1">
      <selection activeCell="B9" sqref="B9"/>
    </sheetView>
  </sheetViews>
  <sheetFormatPr defaultColWidth="11.421875" defaultRowHeight="15"/>
  <cols>
    <col min="1" max="1" width="34.28125" style="35" customWidth="1"/>
    <col min="2" max="2" width="16.421875" style="35" customWidth="1"/>
    <col min="3" max="3" width="25.421875" style="35" customWidth="1"/>
    <col min="4" max="4" width="37.00390625" style="35" customWidth="1"/>
    <col min="5" max="7" width="18.00390625" style="35" customWidth="1"/>
    <col min="8" max="8" width="1.8515625" style="35" customWidth="1"/>
    <col min="9" max="9" width="10.7109375" style="35" customWidth="1"/>
    <col min="10" max="10" width="5.421875" style="35" customWidth="1"/>
    <col min="11" max="11" width="6.7109375" style="35" customWidth="1"/>
    <col min="12" max="16384" width="11.421875" style="35" customWidth="1"/>
  </cols>
  <sheetData>
    <row r="1" spans="1:9" s="33" customFormat="1" ht="21" customHeight="1">
      <c r="A1" s="187" t="s">
        <v>66</v>
      </c>
      <c r="B1" s="187"/>
      <c r="C1" s="187"/>
      <c r="D1" s="187"/>
      <c r="E1" s="196" t="s">
        <v>48</v>
      </c>
      <c r="F1" s="196"/>
      <c r="I1" s="102" t="str">
        <f>"Version "&amp;TEXT(Version,"0.00")</f>
        <v>Version 3.00</v>
      </c>
    </row>
    <row r="2" spans="1:4" ht="4.5" customHeight="1">
      <c r="A2" s="14"/>
      <c r="B2" s="14"/>
      <c r="C2" s="14"/>
      <c r="D2" s="14"/>
    </row>
    <row r="3" spans="4:8" s="9" customFormat="1" ht="25.5" customHeight="1">
      <c r="D3" s="104" t="s">
        <v>31</v>
      </c>
      <c r="E3" s="98"/>
      <c r="F3" s="98"/>
      <c r="G3" s="99"/>
      <c r="H3" s="53"/>
    </row>
    <row r="4" spans="1:8" s="10" customFormat="1" ht="31.5" customHeight="1">
      <c r="A4" s="32" t="s">
        <v>50</v>
      </c>
      <c r="B4" s="31" t="s">
        <v>10</v>
      </c>
      <c r="C4" s="60"/>
      <c r="D4" s="62" t="s">
        <v>29</v>
      </c>
      <c r="E4" s="103">
        <f>+B9</f>
        <v>0</v>
      </c>
      <c r="G4" s="74" t="str">
        <f>IF(E1="Sell-To-Open","STO","BTC")</f>
        <v>BTC</v>
      </c>
      <c r="H4" s="42"/>
    </row>
    <row r="5" spans="1:14" s="10" customFormat="1" ht="33" customHeight="1">
      <c r="A5" s="203">
        <f>+Ticker</f>
        <v>0</v>
      </c>
      <c r="B5" s="30">
        <f>+Last</f>
        <v>0</v>
      </c>
      <c r="C5" s="61"/>
      <c r="D5" s="62" t="s">
        <v>32</v>
      </c>
      <c r="E5" s="73">
        <f>+B10</f>
        <v>0</v>
      </c>
      <c r="F5" s="75"/>
      <c r="G5" s="76"/>
      <c r="H5" s="43"/>
      <c r="L5" s="16">
        <f>+Dates!C14</f>
        <v>5</v>
      </c>
      <c r="M5" s="16">
        <f>+Dates!C15</f>
        <v>33</v>
      </c>
      <c r="N5" s="16">
        <f>+Dates!C16</f>
        <v>68</v>
      </c>
    </row>
    <row r="6" spans="1:8" s="8" customFormat="1" ht="24.75" customHeight="1" thickBot="1">
      <c r="A6" s="191"/>
      <c r="B6" s="191"/>
      <c r="C6" s="191"/>
      <c r="D6" s="22" t="s">
        <v>26</v>
      </c>
      <c r="E6" s="83">
        <f>IF(COUNT(B9:B13)=5,IF((0.1*BTCLast)*(L7/365)-(tradecost/(100*B12))&lt;(0.2*(D12/(B12*100)))-(tradecost/(100*B12)),(0.2*(D12/(B12*100)))-(tradecost/(100*B12)),(0.1*BTCLast)*(L7/365)-(tradecost/(100*B12))),"")</f>
      </c>
      <c r="F6" s="44"/>
      <c r="G6" s="77"/>
      <c r="H6" s="44"/>
    </row>
    <row r="7" spans="1:14" s="8" customFormat="1" ht="24.75" customHeight="1" thickBot="1">
      <c r="A7" s="189" t="s">
        <v>28</v>
      </c>
      <c r="B7" s="190"/>
      <c r="C7" s="87"/>
      <c r="D7" s="104" t="s">
        <v>42</v>
      </c>
      <c r="E7" s="122" t="s">
        <v>43</v>
      </c>
      <c r="F7" s="107"/>
      <c r="G7" s="129">
        <f>IF(F7&gt;E6,"Above Max Prem!","")</f>
      </c>
      <c r="H7" s="45"/>
      <c r="L7" s="19">
        <f ca="1">+E4-TODAY()</f>
        <v>-43052</v>
      </c>
      <c r="M7" s="19">
        <f ca="1">+F6-TODAY()</f>
        <v>-43052</v>
      </c>
      <c r="N7" s="19">
        <f ca="1">+G6-TODAY()</f>
        <v>-43052</v>
      </c>
    </row>
    <row r="8" spans="3:8" s="8" customFormat="1" ht="24.75" customHeight="1">
      <c r="C8" s="88"/>
      <c r="D8" s="110" t="s">
        <v>38</v>
      </c>
      <c r="E8" s="108"/>
      <c r="F8" s="113" t="s">
        <v>36</v>
      </c>
      <c r="G8" s="109" t="s">
        <v>3</v>
      </c>
      <c r="H8" s="46"/>
    </row>
    <row r="9" spans="1:11" s="12" customFormat="1" ht="24.75" customHeight="1">
      <c r="A9" s="21" t="s">
        <v>11</v>
      </c>
      <c r="B9" s="37"/>
      <c r="C9" s="89"/>
      <c r="D9" s="115">
        <f>IF(COUNT(B9:B13,F7)=6,B11*B12*100-tradecost,"")</f>
      </c>
      <c r="E9" s="116">
        <f>IF(D9="","",B12*100*F7+tradecost)</f>
      </c>
      <c r="F9" s="117">
        <f>IF(F7="","",+D9-E9)</f>
      </c>
      <c r="G9" s="118">
        <f ca="1">IF(F7&gt;0,+F9/(B5*B12*100)*(365/(TODAY()-B13)),"")</f>
      </c>
      <c r="H9" s="47"/>
      <c r="I9" s="132"/>
      <c r="J9" s="82"/>
      <c r="K9" s="81" t="s">
        <v>30</v>
      </c>
    </row>
    <row r="10" spans="1:11" s="12" customFormat="1" ht="24.75" customHeight="1">
      <c r="A10" s="20" t="s">
        <v>23</v>
      </c>
      <c r="B10" s="36"/>
      <c r="C10" s="89"/>
      <c r="D10" s="104" t="str">
        <f ca="1">IF(B9=0,"3b. If option expires worthless","3b. If option expires worthless in "&amp;TEXT(B9-TODAY(),"0")&amp;" day(s)")</f>
        <v>3b. If option expires worthless</v>
      </c>
      <c r="E10" s="105"/>
      <c r="F10" s="137">
        <f>IF(AND(B10&gt;0,B5&gt;B10),"N/A Price above Strike","")</f>
      </c>
      <c r="G10" s="82"/>
      <c r="H10" s="48"/>
      <c r="I10" s="79" t="s">
        <v>14</v>
      </c>
      <c r="J10" s="91">
        <f>+'Getting Started'!C10</f>
        <v>4.95</v>
      </c>
      <c r="K10" s="92">
        <f>+'Getting Started'!E10</f>
        <v>0</v>
      </c>
    </row>
    <row r="11" spans="1:11" s="13" customFormat="1" ht="24.75" customHeight="1">
      <c r="A11" s="22" t="s">
        <v>24</v>
      </c>
      <c r="B11" s="65"/>
      <c r="C11" s="89"/>
      <c r="D11" s="110" t="s">
        <v>39</v>
      </c>
      <c r="E11" s="111"/>
      <c r="F11" s="113" t="s">
        <v>36</v>
      </c>
      <c r="G11" s="109" t="s">
        <v>3</v>
      </c>
      <c r="H11" s="49"/>
      <c r="I11" s="80" t="s">
        <v>15</v>
      </c>
      <c r="J11" s="93">
        <f>+'Getting Started'!C11</f>
        <v>0.65</v>
      </c>
      <c r="K11" s="78"/>
    </row>
    <row r="12" spans="1:8" ht="24.75" customHeight="1">
      <c r="A12" s="21" t="s">
        <v>25</v>
      </c>
      <c r="B12" s="55"/>
      <c r="C12" s="89"/>
      <c r="D12" s="115">
        <f>IF(COUNT(B9:B13)=5,B11*B12*100-tradecost,"")</f>
      </c>
      <c r="E12" s="119" t="s">
        <v>37</v>
      </c>
      <c r="F12" s="117">
        <f>+D12</f>
      </c>
      <c r="G12" s="118" t="e">
        <f>+D12/(B10*B12*100)*(365/(B9-B13))</f>
        <v>#VALUE!</v>
      </c>
      <c r="H12" s="50"/>
    </row>
    <row r="13" spans="1:8" ht="24.75" customHeight="1">
      <c r="A13" s="21" t="s">
        <v>27</v>
      </c>
      <c r="B13" s="72"/>
      <c r="C13" s="90"/>
      <c r="G13" s="123"/>
      <c r="H13" s="50"/>
    </row>
    <row r="14" spans="1:8" ht="24.75" customHeight="1">
      <c r="A14" s="21"/>
      <c r="B14" s="120"/>
      <c r="C14" s="90"/>
      <c r="D14" s="112" t="s">
        <v>40</v>
      </c>
      <c r="E14" s="105"/>
      <c r="F14" s="106"/>
      <c r="G14" s="82"/>
      <c r="H14" s="50"/>
    </row>
    <row r="15" spans="1:8" ht="24.75" customHeight="1">
      <c r="A15" s="21"/>
      <c r="B15" s="121"/>
      <c r="C15" s="90"/>
      <c r="D15" s="197" t="s">
        <v>41</v>
      </c>
      <c r="E15" s="198"/>
      <c r="F15" s="199" t="s">
        <v>49</v>
      </c>
      <c r="G15" s="200"/>
      <c r="H15" s="50"/>
    </row>
    <row r="16" spans="1:8" ht="24.75" customHeight="1">
      <c r="A16" s="26"/>
      <c r="B16" s="124"/>
      <c r="C16" s="125"/>
      <c r="D16" s="115">
        <f>IF(COUNT(B9:B13)=5,TEXT(B10,"$0.00")&amp;"       "&amp;TEXT(D12/(B12*100),"$0.00"),"")</f>
      </c>
      <c r="E16" s="119">
        <f>IF(COUNT(B9:B13)=5,"  "&amp;TEXT(assignment/(B12*100),"$0.00")&amp;"     ","")</f>
      </c>
      <c r="F16" s="117">
        <f>IF(COUNT(B9:B13)=5,B10+(D12/(B12*100))-assignment/(B12*100),"")</f>
      </c>
      <c r="G16" s="118"/>
      <c r="H16" s="51"/>
    </row>
    <row r="17" spans="1:8" ht="24.75" customHeight="1">
      <c r="A17" s="126"/>
      <c r="B17" s="126"/>
      <c r="C17" s="126"/>
      <c r="H17" s="51"/>
    </row>
    <row r="18" spans="1:8" ht="24.75" customHeight="1">
      <c r="A18" s="57"/>
      <c r="B18" s="127"/>
      <c r="C18" s="128"/>
      <c r="H18" s="52"/>
    </row>
    <row r="19" spans="4:5" ht="15">
      <c r="D19" s="84"/>
      <c r="E19" s="185" t="e">
        <f ca="1">(E9/(B12*100*B5)*(365/(B9-TODAY())))</f>
        <v>#VALUE!</v>
      </c>
    </row>
    <row r="20" spans="5:7" ht="18.75">
      <c r="E20" s="185"/>
      <c r="G20" s="54"/>
    </row>
    <row r="26" ht="15">
      <c r="C26" s="114"/>
    </row>
  </sheetData>
  <sheetProtection sheet="1" selectLockedCells="1"/>
  <mergeCells count="7">
    <mergeCell ref="E19:E20"/>
    <mergeCell ref="A1:D1"/>
    <mergeCell ref="E1:F1"/>
    <mergeCell ref="A6:C6"/>
    <mergeCell ref="A7:B7"/>
    <mergeCell ref="D15:E15"/>
    <mergeCell ref="F15:G15"/>
  </mergeCells>
  <conditionalFormatting sqref="D12:G12">
    <cfRule type="expression" priority="6" dxfId="9" stopIfTrue="1">
      <formula>IF(COUNT($B$9:$B$13)&lt;5,TRUE(),FALSE())</formula>
    </cfRule>
  </conditionalFormatting>
  <conditionalFormatting sqref="D16:G16">
    <cfRule type="expression" priority="2" dxfId="9" stopIfTrue="1">
      <formula>IF(COUNT($B$9:$B$13)&lt;5,TRUE(),FALSE())</formula>
    </cfRule>
  </conditionalFormatting>
  <conditionalFormatting sqref="D12:G12">
    <cfRule type="expression" priority="1" dxfId="9" stopIfTrue="1">
      <formula>IF($B$5&gt;$B$10,TRUE(),FALSE())</formula>
    </cfRule>
  </conditionalFormatting>
  <conditionalFormatting sqref="D9">
    <cfRule type="expression" priority="9" dxfId="9" stopIfTrue="1">
      <formula>IF($F$7=0,TRUE(),FALSE())</formula>
    </cfRule>
  </conditionalFormatting>
  <dataValidations count="4">
    <dataValidation allowBlank="1" showInputMessage="1" showErrorMessage="1" sqref="E1:F1"/>
    <dataValidation type="list" operator="greaterThan" allowBlank="1" showInputMessage="1" showErrorMessage="1" errorTitle="Past Expiration Date" error="Not a valid expiration date.  " sqref="B9">
      <formula1>longlist</formula1>
    </dataValidation>
    <dataValidation type="whole" operator="greaterThan" allowBlank="1" showInputMessage="1" showErrorMessage="1" sqref="B12">
      <formula1>0</formula1>
    </dataValidation>
    <dataValidation type="date" operator="lessThanOrEqual" allowBlank="1" showInputMessage="1" showErrorMessage="1" sqref="B13:B15">
      <formula1>TODAY()</formula1>
    </dataValidation>
  </dataValidations>
  <printOptions/>
  <pageMargins left="0.7" right="0.7" top="0.75" bottom="0.75" header="0.3" footer="0.3"/>
  <pageSetup horizontalDpi="600" verticalDpi="600" orientation="portrait"/>
  <ignoredErrors>
    <ignoredError sqref="E12" numberStoredAsText="1"/>
    <ignoredError sqref="E19 G12" evalError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4:BF56"/>
  <sheetViews>
    <sheetView zoomScalePageLayoutView="0" workbookViewId="0" topLeftCell="A16">
      <selection activeCell="P25" sqref="P25:P36"/>
    </sheetView>
  </sheetViews>
  <sheetFormatPr defaultColWidth="8.8515625" defaultRowHeight="15"/>
  <cols>
    <col min="1" max="1" width="13.421875" style="0" bestFit="1" customWidth="1"/>
    <col min="2" max="4" width="8.8515625" style="0" customWidth="1"/>
    <col min="5" max="5" width="10.421875" style="0" customWidth="1"/>
    <col min="6" max="10" width="8.8515625" style="0" customWidth="1"/>
    <col min="11" max="11" width="14.140625" style="0" customWidth="1"/>
    <col min="12" max="12" width="8.8515625" style="0" customWidth="1"/>
    <col min="13" max="13" width="13.421875" style="0" customWidth="1"/>
    <col min="14" max="14" width="10.28125" style="0" customWidth="1"/>
    <col min="15" max="15" width="10.00390625" style="0" customWidth="1"/>
    <col min="16" max="16" width="14.140625" style="0" customWidth="1"/>
  </cols>
  <sheetData>
    <row r="4" spans="1:58" ht="15">
      <c r="A4" s="1">
        <f ca="1">MONTH(TODAY())</f>
        <v>11</v>
      </c>
      <c r="C4">
        <f>WEEKDAY(DATE(A6,A4,1))</f>
        <v>4</v>
      </c>
      <c r="D4" s="1">
        <f>1+VLOOKUP(dayofweek1stofmonth,E4:F10,2,FALSE)+15</f>
        <v>18</v>
      </c>
      <c r="E4">
        <v>1</v>
      </c>
      <c r="F4">
        <v>5</v>
      </c>
      <c r="H4" s="1">
        <f>IF(A4=12,1,A4+1)</f>
        <v>12</v>
      </c>
      <c r="I4">
        <f>WEEKDAY(DATE(H6,H4,1))</f>
        <v>6</v>
      </c>
      <c r="J4" s="1">
        <f>1+VLOOKUP(I4,E4:F10,2,FALSE)+15</f>
        <v>16</v>
      </c>
      <c r="L4" s="1">
        <f>IF(H4=12,1,+H4+1)</f>
        <v>1</v>
      </c>
      <c r="M4">
        <f>WEEKDAY(DATE(L6,L4,1))</f>
        <v>2</v>
      </c>
      <c r="N4" s="1">
        <f>1+VLOOKUP(M4,E4:F10,2,FALSE)+15</f>
        <v>20</v>
      </c>
      <c r="P4" s="1">
        <f>IF(L4=12,1,+L4+1)</f>
        <v>2</v>
      </c>
      <c r="Q4">
        <f>WEEKDAY(DATE(P6,P4,1))</f>
        <v>5</v>
      </c>
      <c r="R4" s="1">
        <f>1+VLOOKUP(Q4,daysofweekblock,2,FALSE)+15</f>
        <v>17</v>
      </c>
      <c r="T4" s="1">
        <f>IF(P4=12,1,+P4+1)</f>
        <v>3</v>
      </c>
      <c r="U4">
        <f>WEEKDAY(DATE(T6,T4,1))</f>
        <v>5</v>
      </c>
      <c r="V4" s="1">
        <f>1+VLOOKUP(U4,daysofweekblock,2,FALSE)+15</f>
        <v>17</v>
      </c>
      <c r="X4" s="1">
        <f>IF(T4=12,1,+T4+1)</f>
        <v>4</v>
      </c>
      <c r="Y4">
        <f>WEEKDAY(DATE(X6,X4,1))</f>
        <v>1</v>
      </c>
      <c r="Z4" s="1">
        <f>1+VLOOKUP(Y4,daysofweekblock,2,FALSE)+15</f>
        <v>21</v>
      </c>
      <c r="AB4" s="1">
        <f>IF(X4=12,1,+X4+1)</f>
        <v>5</v>
      </c>
      <c r="AC4">
        <f>WEEKDAY(DATE(AB6,AB4,1))</f>
        <v>3</v>
      </c>
      <c r="AD4" s="1">
        <f>1+VLOOKUP(AC4,daysofweekblock,2,FALSE)+15</f>
        <v>19</v>
      </c>
      <c r="AF4" s="1">
        <f>IF(AB4=12,1,+AB4+1)</f>
        <v>6</v>
      </c>
      <c r="AG4">
        <f>WEEKDAY(DATE(AF6,AF4,1))</f>
        <v>6</v>
      </c>
      <c r="AH4" s="1">
        <f>1+VLOOKUP(AG4,daysofweekblock,2,FALSE)+15</f>
        <v>16</v>
      </c>
      <c r="AJ4" s="1">
        <f>IF(AF4=12,1,+AF4+1)</f>
        <v>7</v>
      </c>
      <c r="AK4">
        <f>WEEKDAY(DATE(AJ6,AJ4,1))</f>
        <v>1</v>
      </c>
      <c r="AL4" s="1">
        <f>1+VLOOKUP(AK4,daysofweekblock,2,FALSE)+15</f>
        <v>21</v>
      </c>
      <c r="AN4" s="1">
        <f>IF(AJ4=12,1,+AJ4+1)</f>
        <v>8</v>
      </c>
      <c r="AO4">
        <f>WEEKDAY(DATE(AN6,AN4,1))</f>
        <v>4</v>
      </c>
      <c r="AP4" s="1">
        <f>1+VLOOKUP(AO4,daysofweekblock,2,FALSE)+15</f>
        <v>18</v>
      </c>
      <c r="AR4" s="1">
        <f>IF(AN4=12,1,+AN4+1)</f>
        <v>9</v>
      </c>
      <c r="AS4">
        <f>WEEKDAY(DATE(AR6,AR4,1))</f>
        <v>7</v>
      </c>
      <c r="AT4" s="1">
        <f>1+VLOOKUP(AS4,daysofweekblock,2,FALSE)+15</f>
        <v>22</v>
      </c>
      <c r="AV4" s="1">
        <f>IF(AR4=12,1,+AR4+1)</f>
        <v>10</v>
      </c>
      <c r="AW4">
        <f>WEEKDAY(DATE(AV6,AV4,1))</f>
        <v>2</v>
      </c>
      <c r="AX4" s="1">
        <f>1+VLOOKUP(AW4,daysofweekblock,2,FALSE)+15</f>
        <v>20</v>
      </c>
      <c r="AZ4" s="1">
        <f>IF(AV4=12,1,+AV4+1)</f>
        <v>11</v>
      </c>
      <c r="BA4">
        <f>WEEKDAY(DATE(AZ6,AZ4,1))</f>
        <v>5</v>
      </c>
      <c r="BB4" s="1">
        <f>1+VLOOKUP(BA4,daysofweekblock,2,FALSE)+15</f>
        <v>17</v>
      </c>
      <c r="BD4" s="1">
        <f>IF(AZ4=12,1,+AZ4+1)</f>
        <v>12</v>
      </c>
      <c r="BE4">
        <f>WEEKDAY(DATE(BD6,BD4,1))</f>
        <v>7</v>
      </c>
      <c r="BF4" s="1">
        <f>1+VLOOKUP(BE4,daysofweekblock,2,FALSE)+15</f>
        <v>22</v>
      </c>
    </row>
    <row r="5" spans="1:6" ht="15">
      <c r="A5">
        <f ca="1">DAY(TODAY())</f>
        <v>13</v>
      </c>
      <c r="B5">
        <f>WEEKDAY(DATE(A6,A4,A5))</f>
        <v>2</v>
      </c>
      <c r="E5">
        <v>2</v>
      </c>
      <c r="F5">
        <v>4</v>
      </c>
    </row>
    <row r="6" spans="1:56" ht="15">
      <c r="A6">
        <f ca="1">YEAR(TODAY())</f>
        <v>2017</v>
      </c>
      <c r="B6">
        <f>IF(B5&lt;5,+A5+6-B5,A5+13-B5)</f>
        <v>17</v>
      </c>
      <c r="E6">
        <v>3</v>
      </c>
      <c r="F6">
        <v>3</v>
      </c>
      <c r="H6">
        <f>IF(A4=12,+A6+1,A6)</f>
        <v>2017</v>
      </c>
      <c r="L6">
        <f>IF(H4=12,H6+1,H6)</f>
        <v>2018</v>
      </c>
      <c r="P6">
        <f>IF(L4=12,L6+1,L6)</f>
        <v>2018</v>
      </c>
      <c r="T6">
        <f>IF(P4=12,P6+1,P6)</f>
        <v>2018</v>
      </c>
      <c r="X6">
        <f>IF(T4=12,T6+1,T6)</f>
        <v>2018</v>
      </c>
      <c r="AB6">
        <f>IF(X4=12,X6+1,X6)</f>
        <v>2018</v>
      </c>
      <c r="AF6">
        <f>IF(AB4=12,AB6+1,AB6)</f>
        <v>2018</v>
      </c>
      <c r="AJ6">
        <f>IF(AF4=12,AF6+1,AF6)</f>
        <v>2018</v>
      </c>
      <c r="AN6">
        <f>IF(AJ4=12,AJ6+1,AJ6)</f>
        <v>2018</v>
      </c>
      <c r="AR6">
        <f>IF(AN4=12,AN6+1,AN6)</f>
        <v>2018</v>
      </c>
      <c r="AV6">
        <f>IF(AR4=12,AR6+1,AR6)</f>
        <v>2018</v>
      </c>
      <c r="AZ6">
        <f>IF(AV4=12,AV6+1,AV6)</f>
        <v>2018</v>
      </c>
      <c r="BD6">
        <f>IF(AZ4=12,AZ6+1,AZ6)</f>
        <v>2018</v>
      </c>
    </row>
    <row r="7" spans="5:6" ht="15">
      <c r="E7">
        <v>4</v>
      </c>
      <c r="F7">
        <v>2</v>
      </c>
    </row>
    <row r="8" spans="1:6" ht="15">
      <c r="A8">
        <f ca="1">WEEKDAY(TODAY())</f>
        <v>2</v>
      </c>
      <c r="E8">
        <v>5</v>
      </c>
      <c r="F8">
        <v>1</v>
      </c>
    </row>
    <row r="9" spans="5:6" ht="15">
      <c r="E9">
        <v>6</v>
      </c>
      <c r="F9">
        <v>0</v>
      </c>
    </row>
    <row r="10" spans="5:6" ht="15">
      <c r="E10">
        <v>7</v>
      </c>
      <c r="F10">
        <v>6</v>
      </c>
    </row>
    <row r="11" spans="4:58" ht="15">
      <c r="D11" t="str">
        <f>RIGHT(TEXT(A6,"0"),2)&amp;TEXT(A4,"00")&amp;TEXT(FrontMonthExp,"00")</f>
        <v>171118</v>
      </c>
      <c r="J11" t="str">
        <f>RIGHT(TEXT(H6,"0"),2)&amp;TEXT(H4,"00")&amp;TEXT(J4,"00")</f>
        <v>171216</v>
      </c>
      <c r="N11" t="str">
        <f>RIGHT(TEXT(L6,"0"),2)&amp;TEXT(L4,"00")&amp;TEXT(N4,"00")</f>
        <v>180120</v>
      </c>
      <c r="R11" t="str">
        <f>RIGHT(TEXT(P6,"0"),2)&amp;TEXT(P4,"00")&amp;TEXT(R4,"00")</f>
        <v>180217</v>
      </c>
      <c r="V11" t="str">
        <f>RIGHT(TEXT(T6,"0"),2)&amp;TEXT(T4,"00")&amp;TEXT(V4,"00")</f>
        <v>180317</v>
      </c>
      <c r="Z11" t="str">
        <f>RIGHT(TEXT(X6,"0"),2)&amp;TEXT(X4,"00")&amp;TEXT(Z4,"00")</f>
        <v>180421</v>
      </c>
      <c r="AD11" t="str">
        <f>RIGHT(TEXT(AB6,"0"),2)&amp;TEXT(AB4,"00")&amp;TEXT(AD4,"00")</f>
        <v>180519</v>
      </c>
      <c r="AH11" t="str">
        <f>RIGHT(TEXT(AF6,"0"),2)&amp;TEXT(AF4,"00")&amp;TEXT(AH4,"00")</f>
        <v>180616</v>
      </c>
      <c r="AL11" t="str">
        <f>RIGHT(TEXT(AJ6,"0"),2)&amp;TEXT(AJ4,"00")&amp;TEXT(AL4,"00")</f>
        <v>180721</v>
      </c>
      <c r="AP11" t="str">
        <f>RIGHT(TEXT(AN6,"0"),2)&amp;TEXT(AN4,"00")&amp;TEXT(AP4,"00")</f>
        <v>180818</v>
      </c>
      <c r="AT11" t="str">
        <f>RIGHT(TEXT(AR6,"0"),2)&amp;TEXT(AR4,"00")&amp;TEXT(AT4,"00")</f>
        <v>180922</v>
      </c>
      <c r="AX11" t="str">
        <f>RIGHT(TEXT(AV6,"0"),2)&amp;TEXT(AV4,"00")&amp;TEXT(AX4,"00")</f>
        <v>181020</v>
      </c>
      <c r="BB11" t="str">
        <f>RIGHT(TEXT(AZ6,"0"),2)&amp;TEXT(AZ4,"00")&amp;TEXT(BB4,"00")</f>
        <v>181117</v>
      </c>
      <c r="BF11" t="str">
        <f>RIGHT(TEXT(BD6,"0"),2)&amp;TEXT(BD4,"00")&amp;TEXT(BF4,"00")</f>
        <v>181222</v>
      </c>
    </row>
    <row r="14" spans="1:5" ht="15">
      <c r="A14" t="s">
        <v>2</v>
      </c>
      <c r="B14" t="str">
        <f>IF(OR(FrontMonthExp-B6&gt;1,FrontMonthExp-B6&lt;1),TEXT(RIGHT(A6,2),"0")&amp;TEXT(A4,"00")&amp;TEXT(B6,"00"),IF(FrontMonthExp-B6=1,D11))</f>
        <v>171118</v>
      </c>
      <c r="C14">
        <f ca="1">DATE(2000+LEFT(B14,2),RIGHT(LEFT(B14,4),2),RIGHT(B14,2))-TODAY()</f>
        <v>5</v>
      </c>
      <c r="E14" s="7">
        <f>DATE(2000+LEFT(B14,2),LEFT(RIGHT(B14,4),2),RIGHT(B14,2))</f>
        <v>43057</v>
      </c>
    </row>
    <row r="15" spans="1:5" ht="15">
      <c r="A15" t="s">
        <v>0</v>
      </c>
      <c r="B15" t="str">
        <f>IF(D11&gt;B14,D11,J11)</f>
        <v>171216</v>
      </c>
      <c r="C15">
        <f ca="1">DATE(2000+LEFT(B15,2),RIGHT(LEFT(B15,4),2),RIGHT(B15,2))-TODAY()</f>
        <v>33</v>
      </c>
      <c r="E15" s="7">
        <f>DATE(2000+LEFT(B15,2),LEFT(RIGHT(B15,4),2),RIGHT(B15,2))</f>
        <v>43085</v>
      </c>
    </row>
    <row r="16" spans="1:5" ht="15">
      <c r="A16" t="s">
        <v>1</v>
      </c>
      <c r="B16" t="str">
        <f>IF(D11&gt;B14,J11,N11)</f>
        <v>180120</v>
      </c>
      <c r="C16">
        <f ca="1">DATE(2000+LEFT(B16,2),RIGHT(LEFT(B16,4),2),RIGHT(B16,2))-TODAY()</f>
        <v>68</v>
      </c>
      <c r="E16" s="7">
        <f>DATE(2000+LEFT(B16,2),LEFT(RIGHT(B16,4),2),RIGHT(B16,2))</f>
        <v>43120</v>
      </c>
    </row>
    <row r="18" ht="15">
      <c r="K18" s="168">
        <f>+A23</f>
        <v>43098</v>
      </c>
    </row>
    <row r="19" spans="10:16" ht="15">
      <c r="J19" t="str">
        <f>IF(B14=B15,"",B14)</f>
        <v>171118</v>
      </c>
      <c r="K19" s="131">
        <f>IF(J19="","",DATE(2000+LEFT(J19,2),RIGHT(LEFT(J19,4),2),RIGHT(J19,2)))</f>
        <v>43057</v>
      </c>
      <c r="L19" s="130"/>
      <c r="M19" s="131"/>
      <c r="N19" s="131">
        <f ca="1">IF(todaysdayofweek&lt;7,TODAY()+6-todaysdayofweek,TODAY()+6)</f>
        <v>43056</v>
      </c>
      <c r="O19" t="str">
        <f aca="true" t="shared" si="0" ref="O19:O24">IF(AND(DAY(N19)&gt;14,DAY(N19)&lt;22),"M","Wk")</f>
        <v>M</v>
      </c>
      <c r="P19" s="131">
        <f aca="true" t="shared" si="1" ref="P19:P24">IF(O19="Wk",N19,N19+1)</f>
        <v>43057</v>
      </c>
    </row>
    <row r="20" spans="10:16" ht="15">
      <c r="J20" t="str">
        <f>+B15</f>
        <v>171216</v>
      </c>
      <c r="K20" s="131">
        <f>DATE(2000+LEFT(J20,2),RIGHT(LEFT(J20,4),2),RIGHT(J20,2))</f>
        <v>43085</v>
      </c>
      <c r="L20" s="130"/>
      <c r="M20" s="131"/>
      <c r="N20" s="131">
        <f>+N19+7</f>
        <v>43063</v>
      </c>
      <c r="O20" t="str">
        <f t="shared" si="0"/>
        <v>Wk</v>
      </c>
      <c r="P20" s="131">
        <f t="shared" si="1"/>
        <v>43063</v>
      </c>
    </row>
    <row r="21" spans="10:16" ht="15">
      <c r="J21" t="str">
        <f>+J11</f>
        <v>171216</v>
      </c>
      <c r="K21" s="131">
        <f>DATE(2000+LEFT(J21,2),RIGHT(LEFT(J21,4),2),RIGHT(J21,2))</f>
        <v>43085</v>
      </c>
      <c r="L21" s="130"/>
      <c r="M21" s="131"/>
      <c r="N21" s="131">
        <f>+N20+7</f>
        <v>43070</v>
      </c>
      <c r="O21" t="str">
        <f t="shared" si="0"/>
        <v>Wk</v>
      </c>
      <c r="P21" s="131">
        <f t="shared" si="1"/>
        <v>43070</v>
      </c>
    </row>
    <row r="22" spans="1:16" ht="15">
      <c r="A22">
        <f>IF(MOD(A4,3)=0,A4,(ROUNDDOWN(A4/3,0)+1)*3)</f>
        <v>12</v>
      </c>
      <c r="J22" t="str">
        <f>+N11</f>
        <v>180120</v>
      </c>
      <c r="K22" s="131">
        <f aca="true" t="shared" si="2" ref="K22:K33">DATE(2000+LEFT(J22,2),RIGHT(LEFT(J22,4),2),RIGHT(J22,2))</f>
        <v>43120</v>
      </c>
      <c r="L22" s="130"/>
      <c r="M22" s="131"/>
      <c r="N22" s="131">
        <f>+N21+7</f>
        <v>43077</v>
      </c>
      <c r="O22" t="str">
        <f t="shared" si="0"/>
        <v>Wk</v>
      </c>
      <c r="P22" s="131">
        <f t="shared" si="1"/>
        <v>43077</v>
      </c>
    </row>
    <row r="23" spans="1:16" ht="15">
      <c r="A23" s="131">
        <f>IF(WEEKDAY(EOMONTH(DATE(A$6,A$22,1),0))=7,EOMONTH(DATE(A$6,A$22,1),0)-1,IF(WEEKDAY(EOMONTH(DATE(A$6,A$22,1),0))=1,EOMONTH(DATE(A$6,A$22,1),0)-2,EOMONTH(DATE(A$6,A$22,1),0)))</f>
        <v>43098</v>
      </c>
      <c r="J23" t="str">
        <f>+R11</f>
        <v>180217</v>
      </c>
      <c r="K23" s="131">
        <f t="shared" si="2"/>
        <v>43148</v>
      </c>
      <c r="L23" s="130"/>
      <c r="M23" s="131"/>
      <c r="N23" s="131">
        <f>+N22+7</f>
        <v>43084</v>
      </c>
      <c r="O23" t="str">
        <f t="shared" si="0"/>
        <v>M</v>
      </c>
      <c r="P23" s="131">
        <f t="shared" si="1"/>
        <v>43085</v>
      </c>
    </row>
    <row r="24" spans="10:16" ht="15">
      <c r="J24" t="str">
        <f>+V11</f>
        <v>180317</v>
      </c>
      <c r="K24" s="131">
        <f t="shared" si="2"/>
        <v>43176</v>
      </c>
      <c r="L24" s="130"/>
      <c r="M24" s="131"/>
      <c r="N24" s="131">
        <f>+N23+7</f>
        <v>43091</v>
      </c>
      <c r="O24" t="str">
        <f t="shared" si="0"/>
        <v>Wk</v>
      </c>
      <c r="P24" s="131">
        <f t="shared" si="1"/>
        <v>43091</v>
      </c>
    </row>
    <row r="25" spans="1:16" ht="15">
      <c r="A25" s="131">
        <f>IF(WEEKDAY(EOMONTH(A23,3))=7,EOMONTH(A23,3)-1,IF(WEEKDAY(EOMONTH(A23,3))=1,EOMONTH(A23,3)-2,EOMONTH(A23,3)))</f>
        <v>43189</v>
      </c>
      <c r="J25" t="str">
        <f>+Z11</f>
        <v>180421</v>
      </c>
      <c r="K25" s="131">
        <f t="shared" si="2"/>
        <v>43211</v>
      </c>
      <c r="L25" s="130"/>
      <c r="M25" s="131" t="str">
        <f>+J11</f>
        <v>171216</v>
      </c>
      <c r="N25" s="131">
        <f>DATE(2000+LEFT(M25,2),RIGHT(LEFT(M25,4),2),RIGHT(M25,2))</f>
        <v>43085</v>
      </c>
      <c r="O25" t="s">
        <v>69</v>
      </c>
      <c r="P25" s="131">
        <f>IF(N25&lt;P24,N26,N25)</f>
        <v>43120</v>
      </c>
    </row>
    <row r="26" spans="1:16" ht="15">
      <c r="A26" s="131"/>
      <c r="J26" t="str">
        <f>+AD11</f>
        <v>180519</v>
      </c>
      <c r="K26" s="131">
        <f t="shared" si="2"/>
        <v>43239</v>
      </c>
      <c r="L26" s="130"/>
      <c r="M26" s="131" t="str">
        <f>+N11</f>
        <v>180120</v>
      </c>
      <c r="N26" s="131">
        <f aca="true" t="shared" si="3" ref="N26:N37">DATE(2000+LEFT(M26,2),RIGHT(LEFT(M26,4),2),RIGHT(M26,2))</f>
        <v>43120</v>
      </c>
      <c r="O26" t="s">
        <v>69</v>
      </c>
      <c r="P26" s="131">
        <f aca="true" t="shared" si="4" ref="P26:P36">IF(N26&lt;P25,N27,N26)</f>
        <v>43120</v>
      </c>
    </row>
    <row r="27" spans="1:16" ht="15">
      <c r="A27" s="131">
        <f>IF(WEEKDAY(EOMONTH(A25,3))=7,EOMONTH(A25,3)-1,IF(WEEKDAY(EOMONTH(A25,3))=1,EOMONTH(A25,3)-2,EOMONTH(A25,3)))</f>
        <v>43280</v>
      </c>
      <c r="J27" t="str">
        <f>+AH11</f>
        <v>180616</v>
      </c>
      <c r="K27" s="131">
        <f t="shared" si="2"/>
        <v>43267</v>
      </c>
      <c r="L27" s="130"/>
      <c r="M27" s="131" t="str">
        <f>+R11</f>
        <v>180217</v>
      </c>
      <c r="N27" s="131">
        <f t="shared" si="3"/>
        <v>43148</v>
      </c>
      <c r="O27" t="s">
        <v>69</v>
      </c>
      <c r="P27" s="131">
        <f t="shared" si="4"/>
        <v>43148</v>
      </c>
    </row>
    <row r="28" spans="1:16" ht="15">
      <c r="A28" s="131"/>
      <c r="J28" t="str">
        <f>+AL11</f>
        <v>180721</v>
      </c>
      <c r="K28" s="131">
        <f t="shared" si="2"/>
        <v>43302</v>
      </c>
      <c r="L28" s="130"/>
      <c r="M28" s="131" t="str">
        <f>+V11</f>
        <v>180317</v>
      </c>
      <c r="N28" s="131">
        <f t="shared" si="3"/>
        <v>43176</v>
      </c>
      <c r="O28" t="s">
        <v>69</v>
      </c>
      <c r="P28" s="131">
        <f t="shared" si="4"/>
        <v>43176</v>
      </c>
    </row>
    <row r="29" spans="1:16" ht="15">
      <c r="A29" s="131">
        <f>IF(WEEKDAY(EOMONTH(A27,3))=7,EOMONTH(A27,3)-1,IF(WEEKDAY(EOMONTH(A27,3))=1,EOMONTH(A27,3)-2,EOMONTH(A27,3)))</f>
        <v>43371</v>
      </c>
      <c r="J29" t="str">
        <f>+AP11</f>
        <v>180818</v>
      </c>
      <c r="K29" s="131">
        <f t="shared" si="2"/>
        <v>43330</v>
      </c>
      <c r="L29" s="130"/>
      <c r="M29" s="131" t="str">
        <f>+Z11</f>
        <v>180421</v>
      </c>
      <c r="N29" s="131">
        <f t="shared" si="3"/>
        <v>43211</v>
      </c>
      <c r="O29" t="s">
        <v>69</v>
      </c>
      <c r="P29" s="131">
        <f t="shared" si="4"/>
        <v>43211</v>
      </c>
    </row>
    <row r="30" spans="10:16" ht="15">
      <c r="J30" t="str">
        <f>+AT11</f>
        <v>180922</v>
      </c>
      <c r="K30" s="131">
        <f t="shared" si="2"/>
        <v>43365</v>
      </c>
      <c r="L30" s="130"/>
      <c r="M30" s="131" t="str">
        <f>+AD11</f>
        <v>180519</v>
      </c>
      <c r="N30" s="131">
        <f t="shared" si="3"/>
        <v>43239</v>
      </c>
      <c r="O30" t="s">
        <v>69</v>
      </c>
      <c r="P30" s="131">
        <f t="shared" si="4"/>
        <v>43239</v>
      </c>
    </row>
    <row r="31" spans="10:16" ht="15">
      <c r="J31" t="str">
        <f>+AX11</f>
        <v>181020</v>
      </c>
      <c r="K31" s="131">
        <f t="shared" si="2"/>
        <v>43393</v>
      </c>
      <c r="L31" s="130"/>
      <c r="M31" s="131" t="str">
        <f>+AH11</f>
        <v>180616</v>
      </c>
      <c r="N31" s="131">
        <f t="shared" si="3"/>
        <v>43267</v>
      </c>
      <c r="O31" t="s">
        <v>69</v>
      </c>
      <c r="P31" s="131">
        <f t="shared" si="4"/>
        <v>43267</v>
      </c>
    </row>
    <row r="32" spans="10:16" ht="15">
      <c r="J32" t="str">
        <f>+BB11</f>
        <v>181117</v>
      </c>
      <c r="K32" s="131">
        <f t="shared" si="2"/>
        <v>43421</v>
      </c>
      <c r="L32" s="130"/>
      <c r="M32" s="131" t="str">
        <f>+AL11</f>
        <v>180721</v>
      </c>
      <c r="N32" s="131">
        <f t="shared" si="3"/>
        <v>43302</v>
      </c>
      <c r="O32" t="s">
        <v>69</v>
      </c>
      <c r="P32" s="131">
        <f t="shared" si="4"/>
        <v>43302</v>
      </c>
    </row>
    <row r="33" spans="10:16" ht="15">
      <c r="J33" t="str">
        <f>+BF11</f>
        <v>181222</v>
      </c>
      <c r="K33" s="131">
        <f t="shared" si="2"/>
        <v>43456</v>
      </c>
      <c r="L33" s="130"/>
      <c r="M33" s="131" t="str">
        <f>+AP11</f>
        <v>180818</v>
      </c>
      <c r="N33" s="131">
        <f t="shared" si="3"/>
        <v>43330</v>
      </c>
      <c r="O33" t="s">
        <v>69</v>
      </c>
      <c r="P33" s="131">
        <f t="shared" si="4"/>
        <v>43330</v>
      </c>
    </row>
    <row r="34" spans="11:16" ht="15">
      <c r="K34" s="168">
        <f>+A25</f>
        <v>43189</v>
      </c>
      <c r="M34" t="str">
        <f>+AT11</f>
        <v>180922</v>
      </c>
      <c r="N34" s="131">
        <f t="shared" si="3"/>
        <v>43365</v>
      </c>
      <c r="O34" t="s">
        <v>69</v>
      </c>
      <c r="P34" s="131">
        <f t="shared" si="4"/>
        <v>43365</v>
      </c>
    </row>
    <row r="35" spans="11:16" ht="15">
      <c r="K35" s="168">
        <f>+A27</f>
        <v>43280</v>
      </c>
      <c r="M35" t="str">
        <f>+AX11</f>
        <v>181020</v>
      </c>
      <c r="N35" s="131">
        <f t="shared" si="3"/>
        <v>43393</v>
      </c>
      <c r="O35" t="s">
        <v>69</v>
      </c>
      <c r="P35" s="131">
        <f t="shared" si="4"/>
        <v>43393</v>
      </c>
    </row>
    <row r="36" spans="11:16" ht="15">
      <c r="K36" s="168">
        <f>+A29</f>
        <v>43371</v>
      </c>
      <c r="M36" t="str">
        <f>+BB11</f>
        <v>181117</v>
      </c>
      <c r="N36" s="131">
        <f t="shared" si="3"/>
        <v>43421</v>
      </c>
      <c r="O36" t="s">
        <v>69</v>
      </c>
      <c r="P36" s="131">
        <f t="shared" si="4"/>
        <v>43421</v>
      </c>
    </row>
    <row r="37" spans="13:16" ht="15">
      <c r="M37" t="str">
        <f>+BF11</f>
        <v>181222</v>
      </c>
      <c r="N37" s="131">
        <f t="shared" si="3"/>
        <v>43456</v>
      </c>
      <c r="P37" s="168">
        <f>+A23</f>
        <v>43098</v>
      </c>
    </row>
    <row r="38" spans="14:16" ht="15">
      <c r="N38" s="131"/>
      <c r="P38" s="168">
        <f>+A25</f>
        <v>43189</v>
      </c>
    </row>
    <row r="39" spans="14:16" ht="15">
      <c r="N39" s="131"/>
      <c r="P39" s="168">
        <f>+A27</f>
        <v>43280</v>
      </c>
    </row>
    <row r="40" spans="14:16" ht="15">
      <c r="N40" s="131"/>
      <c r="P40" s="168">
        <f>+A29</f>
        <v>43371</v>
      </c>
    </row>
    <row r="41" spans="14:16" ht="15">
      <c r="N41" s="131"/>
      <c r="P41" s="131"/>
    </row>
    <row r="42" spans="14:16" ht="15">
      <c r="N42" s="131"/>
      <c r="P42" s="131"/>
    </row>
    <row r="43" spans="14:16" ht="15">
      <c r="N43" s="131"/>
      <c r="P43" s="131"/>
    </row>
    <row r="44" spans="14:16" ht="15">
      <c r="N44" s="131"/>
      <c r="P44" s="131"/>
    </row>
    <row r="45" spans="14:16" ht="15">
      <c r="N45" s="131"/>
      <c r="P45" s="131"/>
    </row>
    <row r="46" spans="14:16" ht="15">
      <c r="N46" s="131"/>
      <c r="P46" s="131"/>
    </row>
    <row r="47" spans="14:16" ht="15">
      <c r="N47" s="131"/>
      <c r="P47" s="131"/>
    </row>
    <row r="48" spans="14:16" ht="15">
      <c r="N48" s="131"/>
      <c r="P48" s="131"/>
    </row>
    <row r="49" spans="14:16" ht="15">
      <c r="N49" s="131"/>
      <c r="P49" s="131"/>
    </row>
    <row r="50" spans="14:16" ht="15">
      <c r="N50" s="131"/>
      <c r="P50" s="131"/>
    </row>
    <row r="51" spans="14:16" ht="15">
      <c r="N51" s="131"/>
      <c r="P51" s="131"/>
    </row>
    <row r="52" spans="14:16" ht="15">
      <c r="N52" s="131"/>
      <c r="P52" s="131"/>
    </row>
    <row r="53" spans="14:16" ht="15">
      <c r="N53" s="131"/>
      <c r="P53" s="131"/>
    </row>
    <row r="54" spans="14:16" ht="15">
      <c r="N54" s="131"/>
      <c r="P54" s="131"/>
    </row>
    <row r="55" spans="14:16" ht="15">
      <c r="N55" s="131"/>
      <c r="P55" s="131"/>
    </row>
    <row r="56" spans="14:16" ht="15">
      <c r="N56" s="131"/>
      <c r="P56" s="13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8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19.421875" style="0" bestFit="1" customWidth="1"/>
  </cols>
  <sheetData>
    <row r="1" ht="15">
      <c r="B1" t="s">
        <v>4</v>
      </c>
    </row>
    <row r="6" spans="1:2" ht="15">
      <c r="A6" t="s">
        <v>34</v>
      </c>
      <c r="B6" s="85">
        <f>IF('Sell-To-Open'!$E$13&lt;='Getting Started'!E10,'Getting Started'!C10,'Getting Started'!C10+('Sell-To-Open'!$E$13-'Getting Started'!E10)*'Getting Started'!C11)</f>
        <v>4.95</v>
      </c>
    </row>
    <row r="7" spans="1:2" ht="15">
      <c r="A7" t="s">
        <v>35</v>
      </c>
      <c r="B7" s="86">
        <f>IF('Closing the Option'!B12&lt;='Getting Started'!E10,'Getting Started'!C10,'Getting Started'!C10+('Closing the Option'!B12-'Getting Started'!E10)*'Getting Started'!C11)</f>
        <v>4.95</v>
      </c>
    </row>
    <row r="8" spans="2:10" ht="15">
      <c r="B8" s="3"/>
      <c r="C8" s="2"/>
      <c r="D8" s="5"/>
      <c r="E8" s="2"/>
      <c r="F8" s="2"/>
      <c r="G8" s="2"/>
      <c r="H8" s="6"/>
      <c r="I8" s="4"/>
      <c r="J8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3:K4"/>
  <sheetViews>
    <sheetView zoomScalePageLayoutView="0" workbookViewId="0" topLeftCell="A1">
      <selection activeCell="B4" sqref="B4"/>
    </sheetView>
  </sheetViews>
  <sheetFormatPr defaultColWidth="10.8515625" defaultRowHeight="15"/>
  <cols>
    <col min="1" max="1" width="10.8515625" style="169" customWidth="1"/>
    <col min="2" max="2" width="13.140625" style="0" customWidth="1"/>
    <col min="3" max="3" width="10.28125" style="0" customWidth="1"/>
    <col min="4" max="4" width="18.00390625" style="0" customWidth="1"/>
    <col min="5" max="8" width="10.00390625" style="0" customWidth="1"/>
    <col min="9" max="9" width="14.28125" style="0" customWidth="1"/>
    <col min="10" max="11" width="8.57421875" style="0" customWidth="1"/>
    <col min="12" max="13" width="10.00390625" style="0" customWidth="1"/>
    <col min="14" max="14" width="15.7109375" style="0" customWidth="1"/>
    <col min="15" max="15" width="6.28125" style="0" customWidth="1"/>
    <col min="16" max="16" width="8.57421875" style="0" customWidth="1"/>
    <col min="17" max="17" width="14.28125" style="0" customWidth="1"/>
    <col min="18" max="23" width="11.421875" style="0" customWidth="1"/>
    <col min="24" max="16384" width="10.8515625" style="169" customWidth="1"/>
  </cols>
  <sheetData>
    <row r="1" ht="25.5" customHeight="1"/>
    <row r="2" ht="15" customHeight="1"/>
    <row r="3" spans="2:4" ht="15.75">
      <c r="B3" t="e">
        <f>_xlfn.WEBSERVICE("http://download.finance.yahoo.com/d/quotes.csv?s="&amp;$A$4&amp;"&amp;f=l1")</f>
        <v>#VALUE!</v>
      </c>
      <c r="C3" t="e">
        <f>_xlfn.WEBSERVICE("http://download.finance.yahoo.com/d/quotes.csv?s="&amp;$A$4&amp;"&amp;f=c1")</f>
        <v>#VALUE!</v>
      </c>
      <c r="D3" t="e">
        <f>_xlfn.WEBSERVICE("http://download.finance.yahoo.com/d/quotes.csv?s="&amp;$A$4&amp;"&amp;f=n")</f>
        <v>#VALUE!</v>
      </c>
    </row>
    <row r="4" spans="1:11" ht="15.75">
      <c r="A4" s="169" t="str">
        <f>IF(Ticker=0,"SPY",Ticker)</f>
        <v>SPY</v>
      </c>
      <c r="B4" t="e">
        <f>VALUE(LEFT($B$3,LEN($B$3)-1))</f>
        <v>#VALUE!</v>
      </c>
      <c r="C4" t="e">
        <f>VALUE(LEFT($C$3,LEN($C$3)-1))</f>
        <v>#VALUE!</v>
      </c>
      <c r="D4" t="e">
        <f>MID(D3,2,LEN(D3)-3)</f>
        <v>#VALUE!</v>
      </c>
      <c r="K4" s="170"/>
    </row>
    <row r="6" ht="15" customHeight="1"/>
    <row r="7" ht="25.5" customHeight="1"/>
    <row r="9" ht="15" customHeight="1"/>
    <row r="10" ht="15" customHeight="1"/>
    <row r="12" ht="15" customHeight="1"/>
    <row r="14" ht="15" customHeight="1"/>
    <row r="16" ht="45" customHeight="1"/>
    <row r="18" ht="15" customHeight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3:D4"/>
  <sheetViews>
    <sheetView zoomScalePageLayoutView="0" workbookViewId="0" topLeftCell="A1">
      <selection activeCell="C10" sqref="C10"/>
    </sheetView>
  </sheetViews>
  <sheetFormatPr defaultColWidth="10.8515625" defaultRowHeight="15"/>
  <cols>
    <col min="1" max="3" width="10.8515625" style="169" customWidth="1"/>
    <col min="4" max="4" width="15.421875" style="169" customWidth="1"/>
    <col min="5" max="16384" width="10.8515625" style="169" customWidth="1"/>
  </cols>
  <sheetData>
    <row r="1" ht="25.5" customHeight="1"/>
    <row r="2" ht="15" customHeight="1"/>
    <row r="3" spans="2:4" ht="15.75">
      <c r="B3" s="169" t="e">
        <f>_xlfn.WEBSERVICE("http://download.finance.yahoo.com/d/quotes.csv?s="&amp;$A$4&amp;"&amp;f=l1")</f>
        <v>#VALUE!</v>
      </c>
      <c r="C3" s="169" t="e">
        <f>_xlfn.WEBSERVICE("http://download.finance.yahoo.com/d/quotes.csv?s="&amp;$A$4&amp;"&amp;f=c1")</f>
        <v>#VALUE!</v>
      </c>
      <c r="D3" s="169" t="e">
        <f>_xlfn.WEBSERVICE("http://download.finance.yahoo.com/d/quotes.csv?s="&amp;$A$4&amp;"&amp;f=n")</f>
        <v>#VALUE!</v>
      </c>
    </row>
    <row r="4" spans="1:4" ht="15.75">
      <c r="A4" s="169" t="str">
        <f>IF(BTCTicker=0,"SPY",BTCTicker)</f>
        <v>SPY</v>
      </c>
      <c r="B4" s="169" t="e">
        <f>VALUE(LEFT($B$3,LEN($B$3)-1))</f>
        <v>#VALUE!</v>
      </c>
      <c r="C4" s="169" t="e">
        <f>VALUE(LEFT($C$3,LEN($C$3)-1))</f>
        <v>#VALUE!</v>
      </c>
      <c r="D4" s="169" t="e">
        <f>MID(D3,2,LEN(D3)-3)</f>
        <v>#VALUE!</v>
      </c>
    </row>
    <row r="6" ht="15" customHeight="1"/>
    <row r="7" ht="24" customHeight="1"/>
    <row r="9" ht="15" customHeight="1"/>
    <row r="10" ht="15" customHeight="1"/>
    <row r="12" ht="15" customHeight="1"/>
    <row r="14" ht="15" customHeight="1"/>
    <row r="16" ht="45" customHeight="1"/>
    <row r="18" ht="15" customHeight="1"/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D8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11.421875" style="71" customWidth="1"/>
    <col min="2" max="2" width="11.421875" style="101" customWidth="1"/>
    <col min="3" max="3" width="11.421875" style="2" customWidth="1"/>
    <col min="4" max="4" width="117.8515625" style="67" customWidth="1"/>
    <col min="5" max="16384" width="11.421875" style="2" customWidth="1"/>
  </cols>
  <sheetData>
    <row r="1" ht="15">
      <c r="B1" s="101">
        <f>MAX(B3:B540)</f>
        <v>3</v>
      </c>
    </row>
    <row r="2" spans="1:4" s="68" customFormat="1" ht="18.75">
      <c r="A2" s="70" t="s">
        <v>18</v>
      </c>
      <c r="B2" s="100" t="s">
        <v>19</v>
      </c>
      <c r="C2" s="68" t="s">
        <v>20</v>
      </c>
      <c r="D2" s="69" t="s">
        <v>21</v>
      </c>
    </row>
    <row r="3" spans="1:4" ht="15">
      <c r="A3" s="71">
        <v>41164</v>
      </c>
      <c r="B3" s="101">
        <v>2.1</v>
      </c>
      <c r="C3" s="2" t="s">
        <v>22</v>
      </c>
      <c r="D3" s="67" t="s">
        <v>65</v>
      </c>
    </row>
    <row r="4" spans="1:4" ht="15">
      <c r="A4" s="71">
        <v>41180</v>
      </c>
      <c r="B4" s="101">
        <v>2.11</v>
      </c>
      <c r="C4" s="2" t="s">
        <v>22</v>
      </c>
      <c r="D4" s="67" t="s">
        <v>67</v>
      </c>
    </row>
    <row r="5" spans="1:4" ht="15">
      <c r="A5" s="71">
        <v>41220</v>
      </c>
      <c r="B5" s="101">
        <v>2.12</v>
      </c>
      <c r="C5" s="2" t="s">
        <v>22</v>
      </c>
      <c r="D5" s="67" t="s">
        <v>68</v>
      </c>
    </row>
    <row r="6" spans="1:4" ht="15">
      <c r="A6" s="71">
        <v>41324</v>
      </c>
      <c r="B6" s="101">
        <v>2.2</v>
      </c>
      <c r="C6" s="2" t="s">
        <v>22</v>
      </c>
      <c r="D6" s="67" t="s">
        <v>70</v>
      </c>
    </row>
    <row r="7" spans="1:4" ht="15">
      <c r="A7" s="71">
        <v>41337</v>
      </c>
      <c r="B7" s="101">
        <v>2.21</v>
      </c>
      <c r="C7" s="2" t="s">
        <v>22</v>
      </c>
      <c r="D7" s="67" t="s">
        <v>71</v>
      </c>
    </row>
    <row r="8" spans="1:4" ht="15">
      <c r="A8" s="71">
        <v>42955</v>
      </c>
      <c r="B8" s="101">
        <v>3</v>
      </c>
      <c r="C8" s="2" t="s">
        <v>22</v>
      </c>
      <c r="D8" s="67" t="s">
        <v>72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W19"/>
  <sheetViews>
    <sheetView zoomScalePageLayoutView="0" workbookViewId="0" topLeftCell="A1">
      <selection activeCell="W15" sqref="W15"/>
    </sheetView>
  </sheetViews>
  <sheetFormatPr defaultColWidth="8.8515625" defaultRowHeight="15"/>
  <cols>
    <col min="1" max="1" width="11.28125" style="0" bestFit="1" customWidth="1"/>
  </cols>
  <sheetData>
    <row r="1" spans="2:6" ht="15">
      <c r="B1">
        <f ca="1">YEAR(TODAY())</f>
        <v>2017</v>
      </c>
      <c r="D1">
        <f>IF(D2&lt;$B$2,+$B$1+1,$B$1)</f>
        <v>2017</v>
      </c>
      <c r="F1">
        <f>IF(F2=3,D1+1,D1)</f>
        <v>2018</v>
      </c>
    </row>
    <row r="2" spans="2:6" ht="15">
      <c r="B2">
        <f ca="1">MONTH(TODAY())</f>
        <v>11</v>
      </c>
      <c r="D2">
        <f>IF(ROUNDDOWN(B2/3,0)*3&lt;B2,((ROUNDDOWN(B2/3,0)+1)*3),ROUNDDOWN(B2/3,0)*3)</f>
        <v>12</v>
      </c>
      <c r="F2">
        <f>IF(D2=12,3,+D2+3)</f>
        <v>3</v>
      </c>
    </row>
    <row r="3" spans="4:6" ht="15">
      <c r="D3">
        <f>WEEKDAY(DATE(D1,D2,1))</f>
        <v>6</v>
      </c>
      <c r="F3">
        <f>WEEKDAY(DATE(F1,F2,1))</f>
        <v>5</v>
      </c>
    </row>
    <row r="4" spans="1:6" ht="15">
      <c r="A4" t="s">
        <v>61</v>
      </c>
      <c r="D4">
        <f>VLOOKUP(D3,ThursdayBeforeThirdFriday,2,FALSE)</f>
        <v>15</v>
      </c>
      <c r="F4">
        <f>VLOOKUP(F3,ThursdayBeforeThirdFriday,2,FALSE)</f>
        <v>16</v>
      </c>
    </row>
    <row r="5" spans="1:23" ht="15">
      <c r="A5" t="s">
        <v>63</v>
      </c>
      <c r="D5" s="164">
        <f ca="1">IF(DAY(TODAY())&gt;D4,DATE(F1,F2,F4),DATE(D1,D2,D4))</f>
        <v>43084</v>
      </c>
      <c r="V5">
        <v>1</v>
      </c>
      <c r="W5">
        <v>20</v>
      </c>
    </row>
    <row r="6" spans="1:23" ht="15">
      <c r="A6" t="s">
        <v>62</v>
      </c>
      <c r="D6">
        <f>VLOOKUP(D3,mondaybeforefourthtuesday,2,FALSE)</f>
        <v>26</v>
      </c>
      <c r="F6">
        <f>VLOOKUP(F3,mondaybeforefourthtuesday,2,FALSE)</f>
        <v>27</v>
      </c>
      <c r="V6">
        <v>2</v>
      </c>
      <c r="W6">
        <v>19</v>
      </c>
    </row>
    <row r="7" spans="1:23" ht="15">
      <c r="A7" t="s">
        <v>63</v>
      </c>
      <c r="D7" s="164">
        <f ca="1">IF(DAY(TODAY())&gt;D6,DATE(F1,F2,F6),DATE(D1,D2,D6))</f>
        <v>43095</v>
      </c>
      <c r="V7">
        <v>3</v>
      </c>
      <c r="W7">
        <v>18</v>
      </c>
    </row>
    <row r="8" spans="22:23" ht="15">
      <c r="V8">
        <v>4</v>
      </c>
      <c r="W8">
        <v>17</v>
      </c>
    </row>
    <row r="9" spans="22:23" ht="15">
      <c r="V9">
        <v>5</v>
      </c>
      <c r="W9">
        <v>16</v>
      </c>
    </row>
    <row r="10" spans="22:23" ht="15">
      <c r="V10">
        <v>6</v>
      </c>
      <c r="W10">
        <v>15</v>
      </c>
    </row>
    <row r="11" spans="22:23" ht="15">
      <c r="V11">
        <v>7</v>
      </c>
      <c r="W11">
        <v>21</v>
      </c>
    </row>
    <row r="13" spans="22:23" ht="15">
      <c r="V13">
        <v>1</v>
      </c>
      <c r="W13">
        <v>24</v>
      </c>
    </row>
    <row r="14" spans="22:23" ht="15">
      <c r="V14">
        <v>2</v>
      </c>
      <c r="W14">
        <v>23</v>
      </c>
    </row>
    <row r="15" spans="22:23" ht="15">
      <c r="V15">
        <v>3</v>
      </c>
      <c r="W15">
        <v>22</v>
      </c>
    </row>
    <row r="16" spans="22:23" ht="15">
      <c r="V16">
        <v>4</v>
      </c>
      <c r="W16">
        <v>28</v>
      </c>
    </row>
    <row r="17" spans="22:23" ht="15">
      <c r="V17">
        <v>5</v>
      </c>
      <c r="W17">
        <v>27</v>
      </c>
    </row>
    <row r="18" spans="22:23" ht="15">
      <c r="V18">
        <v>6</v>
      </c>
      <c r="W18">
        <v>26</v>
      </c>
    </row>
    <row r="19" spans="22:23" ht="15">
      <c r="V19">
        <v>7</v>
      </c>
      <c r="W19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TheCOOLClubDude</dc:creator>
  <cp:keywords/>
  <dc:description/>
  <cp:lastModifiedBy>Paul Madison</cp:lastModifiedBy>
  <dcterms:created xsi:type="dcterms:W3CDTF">2012-07-28T14:43:21Z</dcterms:created>
  <dcterms:modified xsi:type="dcterms:W3CDTF">2017-11-13T17:11:53Z</dcterms:modified>
  <cp:category/>
  <cp:version/>
  <cp:contentType/>
  <cp:contentStatus/>
</cp:coreProperties>
</file>