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01" windowWidth="19440" windowHeight="11040" activeTab="2"/>
  </bookViews>
  <sheets>
    <sheet name="Getting Started" sheetId="1" r:id="rId1"/>
    <sheet name="Sell-To-Open" sheetId="2" r:id="rId2"/>
    <sheet name="Closing the Option" sheetId="3" r:id="rId3"/>
    <sheet name="Dates" sheetId="4" state="veryHidden" r:id="rId4"/>
    <sheet name="Costs" sheetId="5" state="veryHidden" r:id="rId5"/>
    <sheet name="Quotes" sheetId="6" state="hidden" r:id="rId6"/>
    <sheet name="Quotes (2)" sheetId="7" state="hidden" r:id="rId7"/>
    <sheet name="Version Info" sheetId="8" state="veryHidden" r:id="rId8"/>
    <sheet name="SPY Ex-Div" sheetId="9" state="veryHidden" r:id="rId9"/>
  </sheets>
  <definedNames>
    <definedName name="assignment">'Getting Started'!$H$8</definedName>
    <definedName name="btc">'Closing the Option'!$G$4</definedName>
    <definedName name="BTCchange">'Quotes (2)'!$J$4</definedName>
    <definedName name="BTCcompanyname">'Quotes (2)'!$B$4</definedName>
    <definedName name="BTCLast">'Quotes (2)'!$E$4</definedName>
    <definedName name="BTCTicker">'Closing the Option'!$A$5</definedName>
    <definedName name="change">'Quotes'!$J$4</definedName>
    <definedName name="commission">'Costs'!$B$6</definedName>
    <definedName name="companyname">'Quotes'!$B$4</definedName>
    <definedName name="dayofweek1stofmonth">'Dates'!$C$4</definedName>
    <definedName name="daysofweekblock">'Dates'!$E$4:$F$10</definedName>
    <definedName name="FrontMonthExp">'Dates'!$D$4</definedName>
    <definedName name="Last">'Quotes'!$E$4</definedName>
    <definedName name="longlist">'Dates'!$K$18:$K$36</definedName>
    <definedName name="mindays">'Costs'!$F$8</definedName>
    <definedName name="minpercent">'Costs'!$D$8</definedName>
    <definedName name="mondaybeforefourthtuesday">'SPY Ex-Div'!$V$13:$W$19</definedName>
    <definedName name="MSN_MoneyCentral_Stock_Quotes" localSheetId="5">'Quotes'!$B$1:$Q$19</definedName>
    <definedName name="MSN_MoneyCentral_Stock_Quotes" localSheetId="6">'Quotes (2)'!$B$1:$Q$19</definedName>
    <definedName name="MSN_MoneyCentral_Stock_Quotes_1" localSheetId="5">'Quotes'!$B$1:$Q$19</definedName>
    <definedName name="MSN_MoneyCentral_Stock_Quotes_1" localSheetId="6">'Quotes (2)'!$B$1:$Q$19</definedName>
    <definedName name="MSN_MoneyCentral_Stock_Quotes_2" localSheetId="5">'Quotes'!$B$1:$Q$19</definedName>
    <definedName name="MSN_MoneyCentral_Stock_Quotes_2" localSheetId="6">'Quotes (2)'!$B$1:$Q$19</definedName>
    <definedName name="MSN_MoneyCentral_Stock_Quotes_3" localSheetId="6">'Quotes (2)'!$B$1:$Q$19</definedName>
    <definedName name="_xlnm.Print_Area" localSheetId="2">'Closing the Option'!$A$1:$G$16</definedName>
    <definedName name="_xlnm.Print_Area" localSheetId="1">'Sell-To-Open'!$A$1:$G$16</definedName>
    <definedName name="shortlist">'Dates'!$K$20:$K$33</definedName>
    <definedName name="ThursdayBeforeThirdFriday">'SPY Ex-Div'!$V$5:$W$11</definedName>
    <definedName name="Ticker">'Sell-To-Open'!$A$5</definedName>
    <definedName name="todaysdayofweek">'Dates'!$A$8</definedName>
    <definedName name="tradecost">'Costs'!$B$7</definedName>
    <definedName name="Version">'Version Info'!$B$1</definedName>
  </definedNames>
  <calcPr fullCalcOnLoad="1"/>
</workbook>
</file>

<file path=xl/sharedStrings.xml><?xml version="1.0" encoding="utf-8"?>
<sst xmlns="http://schemas.openxmlformats.org/spreadsheetml/2006/main" count="149" uniqueCount="102">
  <si>
    <t>FrontMonth</t>
  </si>
  <si>
    <t>SecondMonth</t>
  </si>
  <si>
    <t>Nextweekly</t>
  </si>
  <si>
    <t>Stock Quotes Provided by MSN Money</t>
  </si>
  <si>
    <t>Click here to visit MSN Money</t>
  </si>
  <si>
    <t>Last</t>
  </si>
  <si>
    <t>Previous Close</t>
  </si>
  <si>
    <t>High</t>
  </si>
  <si>
    <t>Low</t>
  </si>
  <si>
    <t>Volume</t>
  </si>
  <si>
    <t>Change</t>
  </si>
  <si>
    <t>% Change</t>
  </si>
  <si>
    <t>52 Wk High</t>
  </si>
  <si>
    <t>52 Wk Low</t>
  </si>
  <si>
    <t>Market Cap</t>
  </si>
  <si>
    <t>EPS</t>
  </si>
  <si>
    <t>P/E Ratio</t>
  </si>
  <si>
    <t># Shares Out</t>
  </si>
  <si>
    <t>Symbol Lookup</t>
  </si>
  <si>
    <t>MSN Money Home</t>
  </si>
  <si>
    <t>Microsoft Office Tools on the Web</t>
  </si>
  <si>
    <t>Find stocks, mutual funds, options, indices, and currencies.</t>
  </si>
  <si>
    <t>Discover MSN Money's tools, columns, and more!</t>
  </si>
  <si>
    <t>Get the latest from Microsoft Office</t>
  </si>
  <si>
    <t>Terms of Use. © 2012 Microsoft Corporation and/or its suppliers. All rights reserved.</t>
  </si>
  <si>
    <t>APR</t>
  </si>
  <si>
    <t>ASSUMPTIONS</t>
  </si>
  <si>
    <t>Today's 
Change</t>
  </si>
  <si>
    <t>Sell-To-Open</t>
  </si>
  <si>
    <t>2. Selecting a possible option</t>
  </si>
  <si>
    <t>Possible Expiration Dates</t>
  </si>
  <si>
    <t xml:space="preserve"> Strike?</t>
  </si>
  <si>
    <t>3. Analyzing your selection</t>
  </si>
  <si>
    <t>Price</t>
  </si>
  <si>
    <t>What Exp. Date?</t>
  </si>
  <si>
    <t>What Premium?</t>
  </si>
  <si>
    <t>How many Contracts?</t>
  </si>
  <si>
    <t>Base</t>
  </si>
  <si>
    <t>per contract</t>
  </si>
  <si>
    <t>Net Premium</t>
  </si>
  <si>
    <t>Minimum Premium (Bid price)</t>
  </si>
  <si>
    <t>Date</t>
  </si>
  <si>
    <t>Version</t>
  </si>
  <si>
    <t>Author</t>
  </si>
  <si>
    <t>Comments</t>
  </si>
  <si>
    <t>PAM</t>
  </si>
  <si>
    <t>Strike?</t>
  </si>
  <si>
    <t>Sell-To-Open Premium?</t>
  </si>
  <si>
    <t>Number of Contracts?</t>
  </si>
  <si>
    <t>Maximum Premium (Ask price)</t>
  </si>
  <si>
    <t>Date Sold?</t>
  </si>
  <si>
    <t>1. Original Sell-To-Open Position</t>
  </si>
  <si>
    <t>Exp Date</t>
  </si>
  <si>
    <t>Cntrcts in base</t>
  </si>
  <si>
    <t>2. Recommended Maximum Premium</t>
  </si>
  <si>
    <t>Strike</t>
  </si>
  <si>
    <t>Number of contracts covered in Base</t>
  </si>
  <si>
    <t>Commissions on STO</t>
  </si>
  <si>
    <t>Commissions on BTC</t>
  </si>
  <si>
    <t xml:space="preserve">   =   Net</t>
  </si>
  <si>
    <t>$0.00</t>
  </si>
  <si>
    <t>Collected on Open    -    Cost To Close</t>
  </si>
  <si>
    <t>Collected on Open    -     Cost To Close</t>
  </si>
  <si>
    <t>3c. If option is exercised you will sell your stock for</t>
  </si>
  <si>
    <t>Strike  Price  +  Premium   -   Assignment =</t>
  </si>
  <si>
    <r>
      <t xml:space="preserve">3a. If you </t>
    </r>
    <r>
      <rPr>
        <b/>
        <i/>
        <sz val="16"/>
        <color indexed="10"/>
        <rFont val="Calibri"/>
        <family val="2"/>
      </rPr>
      <t>Buy-To-Close</t>
    </r>
  </si>
  <si>
    <t>Your Premium?</t>
  </si>
  <si>
    <t>Brokerage Commission Schedule</t>
  </si>
  <si>
    <t xml:space="preserve">Base Commission </t>
  </si>
  <si>
    <t xml:space="preserve">Cost per contract beyond base </t>
  </si>
  <si>
    <t>Assignment fee
Or Stock trade cost</t>
  </si>
  <si>
    <t>Closing the Option</t>
  </si>
  <si>
    <t xml:space="preserve"> Proceeds per share</t>
  </si>
  <si>
    <t>Enter Ticker:</t>
  </si>
  <si>
    <t>Brought to you by:</t>
  </si>
  <si>
    <t>Developed by:</t>
  </si>
  <si>
    <t>www.bivio.com/COOL_Club</t>
  </si>
  <si>
    <t>Paul Madison    TheCOOLClubDude@gmail.com</t>
  </si>
  <si>
    <r>
      <rPr>
        <i/>
        <sz val="14"/>
        <color indexed="10"/>
        <rFont val="Calibri"/>
        <family val="2"/>
      </rPr>
      <t>Before you Start:</t>
    </r>
    <r>
      <rPr>
        <sz val="14"/>
        <color indexed="8"/>
        <rFont val="Calibri"/>
        <family val="2"/>
      </rPr>
      <t xml:space="preserve"> Be sure that you have enabled Macros and External content!</t>
    </r>
  </si>
  <si>
    <r>
      <t>This COOL TOOL is used to make SELL-TO-OPEN and CLOSING decisions on Covered Options on Index ETFs such as SPY and IWM</t>
    </r>
    <r>
      <rPr>
        <sz val="16"/>
        <color indexed="17"/>
        <rFont val="Calibri"/>
        <family val="2"/>
      </rPr>
      <t xml:space="preserve">. </t>
    </r>
    <r>
      <rPr>
        <sz val="16"/>
        <color indexed="8"/>
        <rFont val="Calibri"/>
        <family val="2"/>
      </rPr>
      <t xml:space="preserve"> There is also  a separate COOL TOOL for Cash Secured PUTs and Covered Calls on individual Stocks.</t>
    </r>
  </si>
  <si>
    <t>1. Fundamental Index Questions</t>
  </si>
  <si>
    <t>DATA PROVIDERS</t>
  </si>
  <si>
    <t>Copyright © 2012 Microsoft. All rights reserved.</t>
  </si>
  <si>
    <t>Quotes are real-time for NASDAQ, NYSE and AMEX. See delay times for other exchanges.</t>
  </si>
  <si>
    <t>Fundamental company data and historical chart data provided by Thomson Reuters (click for restrictions). Real-time quotes provided by BATS Exchange. Real-time index quotes and delayed quotes supplied by Interactive Data Real-Time Services. Fund summary, fund performance and dividend data provided by Morningstar Inc. Analyst recommendations provided by Zacks Investment Research. StockScouter data provided by Verus Analytics. IPO data provided by Hoover's Inc. Index membership data provided by SIX Telekurs.</t>
  </si>
  <si>
    <t>Japanese stock price data provided by Nomura Research Institute Ltd.; quotes delayed 20 minutes. Canadian fund data provided by CANNEX Financial Exchanges Ltd.</t>
  </si>
  <si>
    <t>Upper</t>
  </si>
  <si>
    <t>Lower</t>
  </si>
  <si>
    <t>Which do you want to sell?</t>
  </si>
  <si>
    <t>SPY</t>
  </si>
  <si>
    <t>IWM</t>
  </si>
  <si>
    <t>Next Ex-Div</t>
  </si>
  <si>
    <t xml:space="preserve">Next Ex-Dividend Date: </t>
  </si>
  <si>
    <t>First Release, added the Quarterly expirations for Indexes</t>
  </si>
  <si>
    <t>Index ETF COOL TOOL</t>
  </si>
  <si>
    <t>Updated for Mac</t>
  </si>
  <si>
    <t>Chart</t>
  </si>
  <si>
    <t>News</t>
  </si>
  <si>
    <t>Fixed a few bugs. Warning message on PUTS being in the money and check on enough cash.</t>
  </si>
  <si>
    <t xml:space="preserve">iShares Russell 2000 Index </t>
  </si>
  <si>
    <t>Puts</t>
  </si>
  <si>
    <t>iwm</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</si>
</sst>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mmm\ d"/>
    <numFmt numFmtId="167" formatCode="&quot;$&quot;#,##0.00"/>
    <numFmt numFmtId="168" formatCode="&quot;$&quot;#,##0"/>
    <numFmt numFmtId="169" formatCode="\+#,##0.00_);[Red]\-#,##0.00"/>
    <numFmt numFmtId="170" formatCode="mmm\ d\,\ \'yy"/>
    <numFmt numFmtId="171" formatCode="m/d/yy;@"/>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mmm\ d\ \'yy"/>
    <numFmt numFmtId="178" formatCode="m/d;@"/>
    <numFmt numFmtId="179" formatCode="\Q\t\r\ mmm\ d\,\ \'yy"/>
  </numFmts>
  <fonts count="146">
    <font>
      <sz val="11"/>
      <color theme="1"/>
      <name val="Calibri"/>
      <family val="2"/>
    </font>
    <font>
      <sz val="11"/>
      <color indexed="8"/>
      <name val="Calibri"/>
      <family val="2"/>
    </font>
    <font>
      <b/>
      <i/>
      <sz val="12"/>
      <color indexed="8"/>
      <name val="Calibri"/>
      <family val="2"/>
    </font>
    <font>
      <sz val="16"/>
      <color indexed="8"/>
      <name val="Calibri"/>
      <family val="2"/>
    </font>
    <font>
      <b/>
      <i/>
      <sz val="16"/>
      <color indexed="10"/>
      <name val="Calibri"/>
      <family val="2"/>
    </font>
    <font>
      <sz val="14"/>
      <color indexed="8"/>
      <name val="Calibri"/>
      <family val="2"/>
    </font>
    <font>
      <b/>
      <i/>
      <sz val="10"/>
      <color indexed="8"/>
      <name val="Calibri"/>
      <family val="2"/>
    </font>
    <font>
      <sz val="16"/>
      <color indexed="17"/>
      <name val="Calibri"/>
      <family val="2"/>
    </font>
    <font>
      <i/>
      <sz val="14"/>
      <color indexed="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u val="single"/>
      <sz val="12"/>
      <color indexed="39"/>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24"/>
      <color indexed="30"/>
      <name val="Calibri"/>
      <family val="2"/>
    </font>
    <font>
      <b/>
      <i/>
      <sz val="16"/>
      <color indexed="9"/>
      <name val="Calibri"/>
      <family val="2"/>
    </font>
    <font>
      <b/>
      <sz val="16"/>
      <color indexed="9"/>
      <name val="Calibri"/>
      <family val="2"/>
    </font>
    <font>
      <b/>
      <sz val="14"/>
      <name val="Calibri"/>
      <family val="2"/>
    </font>
    <font>
      <sz val="16"/>
      <color indexed="9"/>
      <name val="Calibri"/>
      <family val="2"/>
    </font>
    <font>
      <b/>
      <i/>
      <sz val="12"/>
      <name val="Calibri"/>
      <family val="2"/>
    </font>
    <font>
      <b/>
      <sz val="12"/>
      <color indexed="8"/>
      <name val="Calibri"/>
      <family val="2"/>
    </font>
    <font>
      <sz val="12"/>
      <color indexed="9"/>
      <name val="Calibri"/>
      <family val="2"/>
    </font>
    <font>
      <b/>
      <sz val="12"/>
      <color indexed="30"/>
      <name val="Calibri"/>
      <family val="2"/>
    </font>
    <font>
      <b/>
      <sz val="18"/>
      <color indexed="8"/>
      <name val="Calibri"/>
      <family val="2"/>
    </font>
    <font>
      <sz val="20"/>
      <color indexed="8"/>
      <name val="Calibri"/>
      <family val="2"/>
    </font>
    <font>
      <b/>
      <sz val="14"/>
      <color indexed="30"/>
      <name val="Calibri"/>
      <family val="2"/>
    </font>
    <font>
      <b/>
      <i/>
      <sz val="16"/>
      <name val="Calibri"/>
      <family val="2"/>
    </font>
    <font>
      <b/>
      <i/>
      <sz val="12"/>
      <color indexed="23"/>
      <name val="Calibri"/>
      <family val="2"/>
    </font>
    <font>
      <b/>
      <sz val="12"/>
      <color indexed="10"/>
      <name val="Calibri"/>
      <family val="2"/>
    </font>
    <font>
      <b/>
      <i/>
      <sz val="10"/>
      <color indexed="10"/>
      <name val="Calibri"/>
      <family val="2"/>
    </font>
    <font>
      <b/>
      <sz val="10"/>
      <color indexed="10"/>
      <name val="Calibri"/>
      <family val="2"/>
    </font>
    <font>
      <b/>
      <sz val="20"/>
      <color indexed="21"/>
      <name val="Calibri"/>
      <family val="2"/>
    </font>
    <font>
      <b/>
      <i/>
      <sz val="14"/>
      <color indexed="10"/>
      <name val="Calibri"/>
      <family val="2"/>
    </font>
    <font>
      <b/>
      <sz val="14"/>
      <color indexed="8"/>
      <name val="Calibri"/>
      <family val="2"/>
    </font>
    <font>
      <b/>
      <sz val="18"/>
      <color indexed="21"/>
      <name val="Calibri"/>
      <family val="2"/>
    </font>
    <font>
      <b/>
      <sz val="24"/>
      <color indexed="8"/>
      <name val="Calibri"/>
      <family val="2"/>
    </font>
    <font>
      <b/>
      <sz val="14"/>
      <color indexed="21"/>
      <name val="Calibri"/>
      <family val="2"/>
    </font>
    <font>
      <b/>
      <sz val="12"/>
      <color indexed="21"/>
      <name val="Calibri"/>
      <family val="2"/>
    </font>
    <font>
      <b/>
      <u val="single"/>
      <sz val="14"/>
      <color indexed="8"/>
      <name val="Calibri"/>
      <family val="2"/>
    </font>
    <font>
      <b/>
      <i/>
      <sz val="8"/>
      <color indexed="8"/>
      <name val="Calibri"/>
      <family val="2"/>
    </font>
    <font>
      <b/>
      <sz val="8"/>
      <color indexed="8"/>
      <name val="Calibri"/>
      <family val="2"/>
    </font>
    <font>
      <b/>
      <sz val="14"/>
      <color indexed="10"/>
      <name val="Calibri"/>
      <family val="2"/>
    </font>
    <font>
      <sz val="11"/>
      <name val="Calibri"/>
      <family val="2"/>
    </font>
    <font>
      <b/>
      <i/>
      <sz val="10"/>
      <name val="Calibri"/>
      <family val="2"/>
    </font>
    <font>
      <b/>
      <sz val="8"/>
      <name val="Calibri"/>
      <family val="2"/>
    </font>
    <font>
      <sz val="8"/>
      <color indexed="8"/>
      <name val="Calibri"/>
      <family val="2"/>
    </font>
    <font>
      <b/>
      <i/>
      <sz val="9"/>
      <color indexed="55"/>
      <name val="Calibri"/>
      <family val="2"/>
    </font>
    <font>
      <b/>
      <sz val="16"/>
      <name val="Calibri"/>
      <family val="2"/>
    </font>
    <font>
      <sz val="11"/>
      <color indexed="19"/>
      <name val="Calibri"/>
      <family val="2"/>
    </font>
    <font>
      <b/>
      <sz val="16"/>
      <color indexed="21"/>
      <name val="Calibri"/>
      <family val="2"/>
    </font>
    <font>
      <b/>
      <sz val="16"/>
      <color indexed="10"/>
      <name val="Calibri"/>
      <family val="2"/>
    </font>
    <font>
      <b/>
      <i/>
      <sz val="16"/>
      <color indexed="21"/>
      <name val="Calibri"/>
      <family val="2"/>
    </font>
    <font>
      <b/>
      <sz val="18"/>
      <name val="Calibri"/>
      <family val="2"/>
    </font>
    <font>
      <sz val="10"/>
      <color indexed="10"/>
      <name val="Calibri"/>
      <family val="2"/>
    </font>
    <font>
      <u val="single"/>
      <sz val="8"/>
      <color indexed="39"/>
      <name val="Calibri"/>
      <family val="2"/>
    </font>
    <font>
      <b/>
      <i/>
      <sz val="11"/>
      <color indexed="10"/>
      <name val="Calibri"/>
      <family val="2"/>
    </font>
    <font>
      <i/>
      <sz val="11"/>
      <color indexed="8"/>
      <name val="Calibri"/>
      <family val="2"/>
    </font>
    <font>
      <b/>
      <i/>
      <sz val="11"/>
      <color indexed="8"/>
      <name val="Calibri"/>
      <family val="2"/>
    </font>
    <font>
      <b/>
      <i/>
      <sz val="11"/>
      <name val="Calibri"/>
      <family val="2"/>
    </font>
    <font>
      <b/>
      <sz val="28"/>
      <color indexed="8"/>
      <name val="Calibri"/>
      <family val="2"/>
    </font>
    <font>
      <b/>
      <i/>
      <sz val="14"/>
      <color indexed="8"/>
      <name val="Calibri"/>
      <family val="2"/>
    </font>
    <font>
      <b/>
      <sz val="20"/>
      <name val="Calibri"/>
      <family val="2"/>
    </font>
    <font>
      <i/>
      <sz val="14"/>
      <color indexed="8"/>
      <name val="Calibri"/>
      <family val="2"/>
    </font>
    <font>
      <b/>
      <i/>
      <sz val="20"/>
      <name val="Calibri"/>
      <family val="2"/>
    </font>
    <font>
      <b/>
      <sz val="20"/>
      <color indexed="9"/>
      <name val="Calibri"/>
      <family val="2"/>
    </font>
    <font>
      <b/>
      <sz val="2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24"/>
      <color rgb="FF0070C0"/>
      <name val="Calibri"/>
      <family val="2"/>
    </font>
    <font>
      <b/>
      <i/>
      <sz val="16"/>
      <color theme="0"/>
      <name val="Calibri"/>
      <family val="2"/>
    </font>
    <font>
      <b/>
      <sz val="16"/>
      <color theme="0"/>
      <name val="Calibri"/>
      <family val="2"/>
    </font>
    <font>
      <sz val="16"/>
      <color theme="0"/>
      <name val="Calibri"/>
      <family val="2"/>
    </font>
    <font>
      <b/>
      <i/>
      <sz val="12"/>
      <color theme="1"/>
      <name val="Calibri"/>
      <family val="2"/>
    </font>
    <font>
      <b/>
      <sz val="12"/>
      <color theme="1"/>
      <name val="Calibri"/>
      <family val="2"/>
    </font>
    <font>
      <sz val="12"/>
      <color theme="0"/>
      <name val="Calibri"/>
      <family val="2"/>
    </font>
    <font>
      <b/>
      <sz val="12"/>
      <color rgb="FF0070C0"/>
      <name val="Calibri"/>
      <family val="2"/>
    </font>
    <font>
      <b/>
      <sz val="18"/>
      <color theme="1"/>
      <name val="Calibri"/>
      <family val="2"/>
    </font>
    <font>
      <sz val="20"/>
      <color theme="1"/>
      <name val="Calibri"/>
      <family val="2"/>
    </font>
    <font>
      <b/>
      <sz val="14"/>
      <color rgb="FF0070C0"/>
      <name val="Calibri"/>
      <family val="2"/>
    </font>
    <font>
      <b/>
      <i/>
      <sz val="12"/>
      <color theme="0" tint="-0.4999699890613556"/>
      <name val="Calibri"/>
      <family val="2"/>
    </font>
    <font>
      <b/>
      <sz val="12"/>
      <color rgb="FFFF0000"/>
      <name val="Calibri"/>
      <family val="2"/>
    </font>
    <font>
      <b/>
      <i/>
      <sz val="10"/>
      <color rgb="FFFF0000"/>
      <name val="Calibri"/>
      <family val="2"/>
    </font>
    <font>
      <b/>
      <sz val="10"/>
      <color rgb="FFFF0000"/>
      <name val="Calibri"/>
      <family val="2"/>
    </font>
    <font>
      <b/>
      <sz val="20"/>
      <color rgb="FF00B050"/>
      <name val="Calibri"/>
      <family val="2"/>
    </font>
    <font>
      <b/>
      <i/>
      <sz val="14"/>
      <color rgb="FFFF0000"/>
      <name val="Calibri"/>
      <family val="2"/>
    </font>
    <font>
      <b/>
      <sz val="14"/>
      <color theme="1"/>
      <name val="Calibri"/>
      <family val="2"/>
    </font>
    <font>
      <b/>
      <sz val="18"/>
      <color rgb="FF00B050"/>
      <name val="Calibri"/>
      <family val="2"/>
    </font>
    <font>
      <b/>
      <sz val="24"/>
      <color theme="1"/>
      <name val="Calibri"/>
      <family val="2"/>
    </font>
    <font>
      <b/>
      <sz val="14"/>
      <color rgb="FF00B050"/>
      <name val="Calibri"/>
      <family val="2"/>
    </font>
    <font>
      <b/>
      <sz val="12"/>
      <color rgb="FF00B050"/>
      <name val="Calibri"/>
      <family val="2"/>
    </font>
    <font>
      <b/>
      <u val="single"/>
      <sz val="14"/>
      <color theme="1"/>
      <name val="Calibri"/>
      <family val="2"/>
    </font>
    <font>
      <b/>
      <i/>
      <sz val="8"/>
      <color theme="1"/>
      <name val="Calibri"/>
      <family val="2"/>
    </font>
    <font>
      <b/>
      <sz val="8"/>
      <color theme="1"/>
      <name val="Calibri"/>
      <family val="2"/>
    </font>
    <font>
      <b/>
      <sz val="14"/>
      <color rgb="FFFF0000"/>
      <name val="Calibri"/>
      <family val="2"/>
    </font>
    <font>
      <sz val="14"/>
      <color theme="1"/>
      <name val="Calibri"/>
      <family val="2"/>
    </font>
    <font>
      <sz val="8"/>
      <color theme="1"/>
      <name val="Calibri"/>
      <family val="2"/>
    </font>
    <font>
      <b/>
      <i/>
      <sz val="9"/>
      <color theme="0" tint="-0.3499799966812134"/>
      <name val="Calibri"/>
      <family val="2"/>
    </font>
    <font>
      <sz val="11"/>
      <color theme="6" tint="-0.4999699890613556"/>
      <name val="Calibri"/>
      <family val="2"/>
    </font>
    <font>
      <b/>
      <sz val="16"/>
      <color rgb="FF00B050"/>
      <name val="Calibri"/>
      <family val="2"/>
    </font>
    <font>
      <b/>
      <sz val="16"/>
      <color rgb="FFFF0000"/>
      <name val="Calibri"/>
      <family val="2"/>
    </font>
    <font>
      <b/>
      <i/>
      <sz val="16"/>
      <color rgb="FF00B050"/>
      <name val="Calibri"/>
      <family val="2"/>
    </font>
    <font>
      <sz val="10"/>
      <color rgb="FFFF0000"/>
      <name val="Calibri"/>
      <family val="2"/>
    </font>
    <font>
      <u val="single"/>
      <sz val="8"/>
      <color theme="10"/>
      <name val="Calibri"/>
      <family val="2"/>
    </font>
    <font>
      <b/>
      <i/>
      <sz val="10"/>
      <color theme="1"/>
      <name val="Calibri"/>
      <family val="2"/>
    </font>
    <font>
      <b/>
      <i/>
      <sz val="11"/>
      <color rgb="FFFF0000"/>
      <name val="Calibri"/>
      <family val="2"/>
    </font>
    <font>
      <i/>
      <sz val="11"/>
      <color theme="1"/>
      <name val="Calibri"/>
      <family val="2"/>
    </font>
    <font>
      <b/>
      <i/>
      <sz val="11"/>
      <color theme="1"/>
      <name val="Calibri"/>
      <family val="2"/>
    </font>
    <font>
      <b/>
      <sz val="28"/>
      <color theme="1"/>
      <name val="Calibri"/>
      <family val="2"/>
    </font>
    <font>
      <b/>
      <i/>
      <sz val="14"/>
      <color theme="1"/>
      <name val="Calibri"/>
      <family val="2"/>
    </font>
    <font>
      <b/>
      <sz val="20"/>
      <color theme="0"/>
      <name val="Calibri"/>
      <family val="2"/>
    </font>
    <font>
      <i/>
      <sz val="14"/>
      <color theme="1"/>
      <name val="Calibri"/>
      <family val="2"/>
    </font>
    <font>
      <b/>
      <sz val="2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medium"/>
    </border>
    <border>
      <left>
        <color indexed="63"/>
      </left>
      <right style="thin"/>
      <top style="thin"/>
      <bottom style="thin"/>
    </border>
    <border>
      <left style="medium"/>
      <right style="medium"/>
      <top style="medium"/>
      <bottom style="medium"/>
    </border>
    <border>
      <left>
        <color indexed="63"/>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96" fillId="0" borderId="0">
      <alignment/>
      <protection/>
    </xf>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202">
    <xf numFmtId="0" fontId="0" fillId="0" borderId="0" xfId="0" applyFont="1" applyAlignment="1">
      <alignment/>
    </xf>
    <xf numFmtId="164" fontId="0" fillId="0" borderId="0" xfId="0" applyNumberFormat="1" applyAlignment="1">
      <alignment/>
    </xf>
    <xf numFmtId="0" fontId="0" fillId="0" borderId="0" xfId="0" applyAlignment="1">
      <alignment horizontal="center"/>
    </xf>
    <xf numFmtId="0" fontId="0" fillId="0" borderId="0" xfId="0" applyAlignment="1">
      <alignment horizontal="left"/>
    </xf>
    <xf numFmtId="9" fontId="0" fillId="0" borderId="0" xfId="61" applyFont="1" applyAlignment="1">
      <alignment horizontal="center"/>
    </xf>
    <xf numFmtId="165" fontId="0" fillId="0" borderId="0" xfId="61" applyNumberFormat="1" applyFont="1" applyAlignment="1">
      <alignment horizontal="center"/>
    </xf>
    <xf numFmtId="0" fontId="0" fillId="0" borderId="0" xfId="0" applyAlignment="1" quotePrefix="1">
      <alignment horizontal="center"/>
    </xf>
    <xf numFmtId="14" fontId="0" fillId="0" borderId="0" xfId="0" applyNumberFormat="1" applyAlignment="1">
      <alignment/>
    </xf>
    <xf numFmtId="0" fontId="101" fillId="0" borderId="0" xfId="0" applyFont="1" applyAlignment="1" applyProtection="1">
      <alignment horizontal="center" vertical="center"/>
      <protection/>
    </xf>
    <xf numFmtId="0" fontId="101" fillId="0" borderId="0" xfId="0" applyFont="1" applyAlignment="1" applyProtection="1">
      <alignment horizontal="center" wrapText="1"/>
      <protection/>
    </xf>
    <xf numFmtId="0" fontId="101" fillId="0" borderId="0" xfId="0" applyFont="1" applyAlignment="1" applyProtection="1">
      <alignment horizontal="center" vertical="center" wrapText="1"/>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0" xfId="0" applyBorder="1" applyAlignment="1" applyProtection="1">
      <alignment horizontal="center" vertical="center"/>
      <protection/>
    </xf>
    <xf numFmtId="0" fontId="102" fillId="0" borderId="0" xfId="0" applyFont="1" applyAlignment="1" applyProtection="1">
      <alignment horizontal="right"/>
      <protection/>
    </xf>
    <xf numFmtId="0" fontId="103" fillId="0" borderId="0" xfId="0" applyFont="1" applyBorder="1" applyAlignment="1" applyProtection="1">
      <alignment horizontal="right" vertical="center" wrapText="1"/>
      <protection/>
    </xf>
    <xf numFmtId="0" fontId="104" fillId="0" borderId="0" xfId="0" applyFont="1" applyFill="1" applyBorder="1" applyAlignment="1" applyProtection="1">
      <alignment horizontal="center" vertical="center" wrapText="1"/>
      <protection/>
    </xf>
    <xf numFmtId="0" fontId="32" fillId="0" borderId="10" xfId="0" applyFont="1" applyBorder="1" applyAlignment="1" applyProtection="1">
      <alignment horizontal="center" vertical="center" wrapText="1"/>
      <protection locked="0"/>
    </xf>
    <xf numFmtId="168" fontId="32" fillId="0" borderId="10" xfId="0" applyNumberFormat="1" applyFont="1" applyBorder="1" applyAlignment="1" applyProtection="1">
      <alignment horizontal="center" vertical="center" wrapText="1"/>
      <protection locked="0"/>
    </xf>
    <xf numFmtId="0" fontId="105" fillId="0" borderId="0" xfId="0" applyFont="1" applyAlignment="1" applyProtection="1">
      <alignment horizontal="center" vertical="center"/>
      <protection/>
    </xf>
    <xf numFmtId="0" fontId="106" fillId="0" borderId="11" xfId="0" applyFont="1" applyBorder="1" applyAlignment="1" applyProtection="1">
      <alignment horizontal="right" vertical="center" wrapText="1"/>
      <protection/>
    </xf>
    <xf numFmtId="0" fontId="106" fillId="0" borderId="11" xfId="0" applyFont="1" applyBorder="1" applyAlignment="1" applyProtection="1">
      <alignment horizontal="right" vertical="center"/>
      <protection/>
    </xf>
    <xf numFmtId="0" fontId="34" fillId="0" borderId="11" xfId="0" applyFont="1" applyBorder="1" applyAlignment="1" applyProtection="1">
      <alignment horizontal="right" vertical="center"/>
      <protection/>
    </xf>
    <xf numFmtId="0" fontId="107" fillId="0" borderId="11" xfId="0" applyFont="1" applyBorder="1" applyAlignment="1" applyProtection="1">
      <alignment horizontal="right" vertical="center" wrapText="1"/>
      <protection/>
    </xf>
    <xf numFmtId="0" fontId="108" fillId="0" borderId="12" xfId="0" applyFont="1" applyBorder="1" applyAlignment="1" applyProtection="1">
      <alignment horizontal="center" vertical="center"/>
      <protection/>
    </xf>
    <xf numFmtId="166" fontId="109" fillId="0" borderId="10" xfId="0" applyNumberFormat="1" applyFont="1" applyBorder="1" applyAlignment="1" applyProtection="1">
      <alignment horizontal="center" vertical="center" wrapText="1"/>
      <protection/>
    </xf>
    <xf numFmtId="0" fontId="106" fillId="0" borderId="13" xfId="0" applyFont="1" applyBorder="1" applyAlignment="1" applyProtection="1">
      <alignment horizontal="right" vertical="center"/>
      <protection/>
    </xf>
    <xf numFmtId="0" fontId="96" fillId="0" borderId="14" xfId="0" applyFont="1" applyBorder="1" applyAlignment="1" applyProtection="1">
      <alignment horizontal="center" vertical="center"/>
      <protection/>
    </xf>
    <xf numFmtId="0" fontId="96" fillId="0" borderId="12" xfId="0" applyFont="1" applyBorder="1" applyAlignment="1" applyProtection="1">
      <alignment horizontal="center" vertical="center"/>
      <protection/>
    </xf>
    <xf numFmtId="0" fontId="106" fillId="0" borderId="15" xfId="0" applyFont="1" applyBorder="1" applyAlignment="1" applyProtection="1">
      <alignment horizontal="right" vertical="center"/>
      <protection/>
    </xf>
    <xf numFmtId="167" fontId="110" fillId="0" borderId="16" xfId="0" applyNumberFormat="1" applyFont="1" applyBorder="1" applyAlignment="1" applyProtection="1">
      <alignment horizontal="center" vertical="center"/>
      <protection/>
    </xf>
    <xf numFmtId="0" fontId="106" fillId="0" borderId="14" xfId="0" applyFont="1" applyBorder="1" applyAlignment="1" applyProtection="1">
      <alignment horizontal="center"/>
      <protection/>
    </xf>
    <xf numFmtId="0" fontId="106" fillId="0" borderId="0" xfId="0" applyFont="1" applyAlignment="1" applyProtection="1">
      <alignment horizontal="center"/>
      <protection/>
    </xf>
    <xf numFmtId="0" fontId="111" fillId="0" borderId="0" xfId="0" applyFont="1" applyAlignment="1" applyProtection="1">
      <alignment horizontal="center"/>
      <protection/>
    </xf>
    <xf numFmtId="0" fontId="96" fillId="0" borderId="11" xfId="0" applyFont="1" applyBorder="1" applyAlignment="1" applyProtection="1">
      <alignment horizontal="center" vertical="center"/>
      <protection/>
    </xf>
    <xf numFmtId="0" fontId="0" fillId="0" borderId="0" xfId="0" applyAlignment="1" applyProtection="1">
      <alignment horizontal="center"/>
      <protection/>
    </xf>
    <xf numFmtId="167" fontId="32" fillId="0" borderId="10" xfId="44" applyNumberFormat="1" applyFont="1" applyBorder="1" applyAlignment="1" applyProtection="1">
      <alignment horizontal="center" vertical="center"/>
      <protection locked="0"/>
    </xf>
    <xf numFmtId="166" fontId="112" fillId="0" borderId="10" xfId="0" applyNumberFormat="1" applyFont="1" applyBorder="1" applyAlignment="1" applyProtection="1">
      <alignment horizontal="center" vertical="center" wrapText="1"/>
      <protection locked="0"/>
    </xf>
    <xf numFmtId="0" fontId="41" fillId="33" borderId="17" xfId="0" applyFont="1"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3" fontId="32" fillId="0" borderId="10" xfId="0" applyNumberFormat="1" applyFont="1" applyBorder="1" applyAlignment="1" applyProtection="1">
      <alignment horizontal="center" vertical="center" wrapText="1"/>
      <protection locked="0"/>
    </xf>
    <xf numFmtId="0" fontId="108" fillId="0" borderId="0" xfId="0" applyFont="1" applyBorder="1" applyAlignment="1" applyProtection="1">
      <alignment horizontal="center" vertical="center"/>
      <protection/>
    </xf>
    <xf numFmtId="0" fontId="113" fillId="0" borderId="0" xfId="0" applyFont="1" applyBorder="1" applyAlignment="1" applyProtection="1">
      <alignment horizontal="center" vertical="center" wrapText="1"/>
      <protection/>
    </xf>
    <xf numFmtId="166" fontId="109" fillId="0" borderId="0" xfId="0" applyNumberFormat="1" applyFont="1" applyBorder="1" applyAlignment="1" applyProtection="1">
      <alignment horizontal="center" vertical="center" wrapText="1"/>
      <protection/>
    </xf>
    <xf numFmtId="167" fontId="114" fillId="0" borderId="0" xfId="44" applyNumberFormat="1" applyFont="1" applyBorder="1" applyAlignment="1" applyProtection="1">
      <alignment horizontal="center" vertical="center"/>
      <protection/>
    </xf>
    <xf numFmtId="0" fontId="96" fillId="0" borderId="0" xfId="0" applyFont="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15" fillId="0" borderId="0" xfId="0"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wrapText="1"/>
      <protection/>
    </xf>
    <xf numFmtId="9" fontId="117" fillId="0" borderId="0" xfId="61" applyFont="1" applyFill="1" applyBorder="1" applyAlignment="1" applyProtection="1">
      <alignment horizontal="center" vertical="center"/>
      <protection/>
    </xf>
    <xf numFmtId="167" fontId="117" fillId="0" borderId="0" xfId="0" applyNumberFormat="1" applyFont="1" applyFill="1" applyBorder="1" applyAlignment="1" applyProtection="1">
      <alignment horizontal="center" vertical="center"/>
      <protection/>
    </xf>
    <xf numFmtId="0" fontId="118" fillId="0" borderId="0" xfId="0" applyFont="1" applyFill="1" applyBorder="1" applyAlignment="1" applyProtection="1">
      <alignment horizontal="center" vertical="top"/>
      <protection/>
    </xf>
    <xf numFmtId="0" fontId="101" fillId="0" borderId="0" xfId="0" applyFont="1" applyFill="1" applyBorder="1" applyAlignment="1" applyProtection="1">
      <alignment horizontal="center" wrapText="1"/>
      <protection/>
    </xf>
    <xf numFmtId="0" fontId="118" fillId="0" borderId="0" xfId="0" applyFont="1" applyFill="1" applyBorder="1" applyAlignment="1" applyProtection="1">
      <alignment vertical="top"/>
      <protection/>
    </xf>
    <xf numFmtId="1" fontId="119" fillId="0" borderId="10" xfId="0" applyNumberFormat="1" applyFont="1" applyBorder="1" applyAlignment="1" applyProtection="1">
      <alignment horizontal="center" vertical="center"/>
      <protection locked="0"/>
    </xf>
    <xf numFmtId="0" fontId="106" fillId="0" borderId="17" xfId="0" applyFont="1" applyBorder="1" applyAlignment="1" applyProtection="1">
      <alignment horizontal="right" vertical="center"/>
      <protection/>
    </xf>
    <xf numFmtId="0" fontId="0" fillId="0" borderId="0" xfId="0" applyBorder="1" applyAlignment="1" applyProtection="1">
      <alignment horizontal="center"/>
      <protection/>
    </xf>
    <xf numFmtId="0" fontId="0" fillId="0" borderId="20" xfId="0" applyBorder="1" applyAlignment="1" applyProtection="1">
      <alignment horizontal="center"/>
      <protection/>
    </xf>
    <xf numFmtId="0" fontId="0" fillId="0" borderId="12" xfId="0" applyBorder="1" applyAlignment="1" applyProtection="1">
      <alignment horizontal="center"/>
      <protection/>
    </xf>
    <xf numFmtId="0" fontId="106" fillId="0" borderId="14" xfId="0" applyFont="1" applyBorder="1" applyAlignment="1" applyProtection="1">
      <alignment horizontal="center" wrapText="1"/>
      <protection/>
    </xf>
    <xf numFmtId="169" fontId="120" fillId="0" borderId="21" xfId="0" applyNumberFormat="1" applyFont="1" applyBorder="1" applyAlignment="1" applyProtection="1">
      <alignment horizontal="center" vertical="center"/>
      <protection/>
    </xf>
    <xf numFmtId="0" fontId="121" fillId="0" borderId="10" xfId="0" applyFont="1" applyBorder="1" applyAlignment="1" applyProtection="1">
      <alignment horizontal="center" vertical="center"/>
      <protection locked="0"/>
    </xf>
    <xf numFmtId="0" fontId="34" fillId="0" borderId="11" xfId="0" applyFont="1" applyBorder="1" applyAlignment="1" applyProtection="1">
      <alignment horizontal="right" vertical="center" wrapText="1"/>
      <protection/>
    </xf>
    <xf numFmtId="0" fontId="34" fillId="0" borderId="10" xfId="0" applyFont="1" applyBorder="1" applyAlignment="1" applyProtection="1">
      <alignment horizontal="center" vertical="center" wrapText="1"/>
      <protection/>
    </xf>
    <xf numFmtId="167" fontId="32" fillId="0" borderId="22" xfId="0" applyNumberFormat="1" applyFont="1" applyBorder="1" applyAlignment="1" applyProtection="1">
      <alignment horizontal="center" vertical="center"/>
      <protection/>
    </xf>
    <xf numFmtId="167" fontId="122" fillId="0" borderId="10" xfId="44" applyNumberFormat="1" applyFont="1" applyBorder="1" applyAlignment="1" applyProtection="1">
      <alignment horizontal="center" vertical="center"/>
      <protection locked="0"/>
    </xf>
    <xf numFmtId="167" fontId="123" fillId="0" borderId="23" xfId="44" applyNumberFormat="1" applyFont="1" applyBorder="1" applyAlignment="1" applyProtection="1">
      <alignment horizontal="center" vertical="center"/>
      <protection/>
    </xf>
    <xf numFmtId="0" fontId="0" fillId="0" borderId="0" xfId="0" applyAlignment="1">
      <alignment horizontal="center" wrapText="1"/>
    </xf>
    <xf numFmtId="0" fontId="124" fillId="0" borderId="0" xfId="0" applyFont="1" applyAlignment="1">
      <alignment horizontal="center"/>
    </xf>
    <xf numFmtId="0" fontId="124" fillId="0" borderId="0" xfId="0" applyFont="1" applyAlignment="1">
      <alignment horizontal="center" wrapText="1"/>
    </xf>
    <xf numFmtId="171" fontId="124" fillId="0" borderId="0" xfId="0" applyNumberFormat="1" applyFont="1" applyAlignment="1">
      <alignment horizontal="center"/>
    </xf>
    <xf numFmtId="171" fontId="0" fillId="0" borderId="0" xfId="0" applyNumberFormat="1" applyAlignment="1">
      <alignment horizontal="center"/>
    </xf>
    <xf numFmtId="166" fontId="32" fillId="0" borderId="10" xfId="0" applyNumberFormat="1" applyFont="1" applyBorder="1" applyAlignment="1" applyProtection="1">
      <alignment horizontal="center" vertical="center" wrapText="1"/>
      <protection locked="0"/>
    </xf>
    <xf numFmtId="167" fontId="32" fillId="0" borderId="10" xfId="44" applyNumberFormat="1" applyFont="1" applyBorder="1" applyAlignment="1" applyProtection="1">
      <alignment horizontal="center" vertical="center"/>
      <protection/>
    </xf>
    <xf numFmtId="0" fontId="108" fillId="0" borderId="20" xfId="0" applyFont="1" applyBorder="1" applyAlignment="1" applyProtection="1">
      <alignment horizontal="center" vertical="center"/>
      <protection/>
    </xf>
    <xf numFmtId="0" fontId="34" fillId="0" borderId="0" xfId="0" applyFont="1" applyBorder="1" applyAlignment="1" applyProtection="1">
      <alignment horizontal="center" vertical="center" wrapText="1"/>
      <protection/>
    </xf>
    <xf numFmtId="0" fontId="34" fillId="0" borderId="20" xfId="0" applyFont="1" applyBorder="1" applyAlignment="1" applyProtection="1">
      <alignment horizontal="center" vertical="center" wrapText="1"/>
      <protection/>
    </xf>
    <xf numFmtId="166" fontId="109" fillId="0" borderId="20" xfId="0" applyNumberFormat="1" applyFont="1" applyBorder="1" applyAlignment="1" applyProtection="1">
      <alignment horizontal="center" vertical="center" wrapText="1"/>
      <protection/>
    </xf>
    <xf numFmtId="0" fontId="0" fillId="33" borderId="12" xfId="0" applyFill="1" applyBorder="1" applyAlignment="1" applyProtection="1">
      <alignment horizontal="center"/>
      <protection/>
    </xf>
    <xf numFmtId="0" fontId="125" fillId="33" borderId="11" xfId="0" applyFont="1" applyFill="1" applyBorder="1" applyAlignment="1" applyProtection="1">
      <alignment horizontal="center" vertical="center" wrapText="1"/>
      <protection/>
    </xf>
    <xf numFmtId="0" fontId="125" fillId="33" borderId="13" xfId="0" applyFont="1" applyFill="1" applyBorder="1" applyAlignment="1" applyProtection="1">
      <alignment horizontal="center" vertical="center" wrapText="1"/>
      <protection/>
    </xf>
    <xf numFmtId="0" fontId="126" fillId="33" borderId="19" xfId="0" applyFont="1" applyFill="1" applyBorder="1" applyAlignment="1" applyProtection="1">
      <alignment horizontal="center" wrapText="1"/>
      <protection/>
    </xf>
    <xf numFmtId="0" fontId="0" fillId="33" borderId="24" xfId="0" applyFill="1" applyBorder="1" applyAlignment="1" applyProtection="1">
      <alignment horizontal="center"/>
      <protection/>
    </xf>
    <xf numFmtId="167" fontId="127" fillId="0" borderId="10" xfId="44" applyNumberFormat="1" applyFont="1" applyBorder="1" applyAlignment="1" applyProtection="1">
      <alignment horizontal="center" vertical="center"/>
      <protection/>
    </xf>
    <xf numFmtId="166" fontId="81" fillId="0" borderId="0" xfId="0" applyNumberFormat="1" applyFont="1" applyAlignment="1" applyProtection="1">
      <alignment horizontal="center"/>
      <protection/>
    </xf>
    <xf numFmtId="167" fontId="57" fillId="0" borderId="0" xfId="0" applyNumberFormat="1" applyFont="1" applyBorder="1" applyAlignment="1" applyProtection="1">
      <alignment horizontal="center"/>
      <protection/>
    </xf>
    <xf numFmtId="167" fontId="0" fillId="0" borderId="0" xfId="0" applyNumberFormat="1" applyBorder="1" applyAlignment="1" applyProtection="1">
      <alignment horizontal="center"/>
      <protection/>
    </xf>
    <xf numFmtId="0" fontId="128" fillId="33" borderId="24" xfId="0" applyFont="1" applyFill="1" applyBorder="1" applyAlignment="1" applyProtection="1">
      <alignment horizontal="center" vertical="center" wrapText="1"/>
      <protection/>
    </xf>
    <xf numFmtId="0" fontId="101" fillId="0" borderId="19" xfId="0" applyFont="1" applyBorder="1" applyAlignment="1" applyProtection="1">
      <alignment horizontal="center" vertical="center"/>
      <protection/>
    </xf>
    <xf numFmtId="0" fontId="115" fillId="0" borderId="20" xfId="0" applyFont="1" applyBorder="1" applyAlignment="1" applyProtection="1">
      <alignment horizontal="center" vertical="center" wrapText="1"/>
      <protection/>
    </xf>
    <xf numFmtId="0" fontId="58" fillId="0" borderId="20" xfId="0" applyFont="1" applyBorder="1" applyAlignment="1" applyProtection="1">
      <alignment horizontal="center" vertical="center" wrapText="1"/>
      <protection/>
    </xf>
    <xf numFmtId="4" fontId="59" fillId="0" borderId="22" xfId="44" applyNumberFormat="1" applyFont="1" applyFill="1" applyBorder="1" applyAlignment="1" applyProtection="1">
      <alignment horizontal="center" vertical="center"/>
      <protection/>
    </xf>
    <xf numFmtId="3" fontId="129" fillId="0" borderId="10" xfId="0" applyNumberFormat="1" applyFont="1" applyFill="1" applyBorder="1" applyAlignment="1" applyProtection="1">
      <alignment horizontal="center" vertical="center"/>
      <protection/>
    </xf>
    <xf numFmtId="4" fontId="59" fillId="0" borderId="10" xfId="44" applyNumberFormat="1" applyFont="1" applyFill="1" applyBorder="1" applyAlignment="1" applyProtection="1">
      <alignment horizontal="center" vertical="center"/>
      <protection/>
    </xf>
    <xf numFmtId="0" fontId="0" fillId="0" borderId="0" xfId="0" applyAlignment="1">
      <alignment vertical="center"/>
    </xf>
    <xf numFmtId="0" fontId="106" fillId="0" borderId="14" xfId="0" applyFont="1" applyBorder="1" applyAlignment="1" applyProtection="1">
      <alignment horizontal="right" vertical="center"/>
      <protection/>
    </xf>
    <xf numFmtId="166" fontId="32" fillId="0" borderId="21" xfId="0" applyNumberFormat="1" applyFont="1" applyBorder="1" applyAlignment="1" applyProtection="1">
      <alignment horizontal="center" vertical="center" wrapText="1"/>
      <protection/>
    </xf>
    <xf numFmtId="0" fontId="41" fillId="33" borderId="16" xfId="0" applyFont="1" applyFill="1" applyBorder="1" applyAlignment="1" applyProtection="1">
      <alignment horizontal="center" vertical="center"/>
      <protection/>
    </xf>
    <xf numFmtId="0" fontId="101" fillId="33" borderId="21" xfId="0" applyFont="1" applyFill="1" applyBorder="1" applyAlignment="1" applyProtection="1">
      <alignment horizontal="center" wrapText="1"/>
      <protection/>
    </xf>
    <xf numFmtId="0" fontId="101" fillId="33" borderId="24" xfId="0" applyFont="1" applyFill="1" applyBorder="1" applyAlignment="1" applyProtection="1">
      <alignment horizontal="center" wrapText="1"/>
      <protection/>
    </xf>
    <xf numFmtId="2" fontId="124" fillId="0" borderId="0" xfId="0" applyNumberFormat="1" applyFont="1" applyAlignment="1">
      <alignment horizontal="center"/>
    </xf>
    <xf numFmtId="2" fontId="0" fillId="0" borderId="0" xfId="0" applyNumberFormat="1" applyAlignment="1">
      <alignment horizontal="center"/>
    </xf>
    <xf numFmtId="0" fontId="130" fillId="0" borderId="0" xfId="0" applyFont="1" applyAlignment="1" applyProtection="1">
      <alignment horizontal="right"/>
      <protection/>
    </xf>
    <xf numFmtId="166" fontId="112" fillId="0" borderId="22" xfId="0" applyNumberFormat="1" applyFont="1" applyBorder="1" applyAlignment="1" applyProtection="1">
      <alignment horizontal="center" vertical="center" wrapText="1"/>
      <protection/>
    </xf>
    <xf numFmtId="0" fontId="41" fillId="33" borderId="16" xfId="0" applyFont="1" applyFill="1" applyBorder="1" applyAlignment="1" applyProtection="1">
      <alignment horizontal="left" vertical="center"/>
      <protection/>
    </xf>
    <xf numFmtId="1" fontId="0" fillId="33" borderId="21" xfId="0" applyNumberFormat="1" applyFill="1" applyBorder="1" applyAlignment="1" applyProtection="1">
      <alignment horizontal="center" vertical="center"/>
      <protection/>
    </xf>
    <xf numFmtId="0" fontId="0" fillId="33" borderId="21" xfId="0" applyFill="1" applyBorder="1" applyAlignment="1" applyProtection="1">
      <alignment horizontal="center"/>
      <protection/>
    </xf>
    <xf numFmtId="167" fontId="127" fillId="0" borderId="25" xfId="44" applyNumberFormat="1" applyFont="1" applyBorder="1" applyAlignment="1" applyProtection="1">
      <alignment horizontal="center" vertical="center"/>
      <protection locked="0"/>
    </xf>
    <xf numFmtId="0" fontId="62" fillId="2" borderId="0" xfId="0" applyFont="1" applyFill="1" applyBorder="1" applyAlignment="1" applyProtection="1">
      <alignment horizontal="right" vertical="center"/>
      <protection/>
    </xf>
    <xf numFmtId="0" fontId="62" fillId="2" borderId="19" xfId="0" applyFont="1" applyFill="1" applyBorder="1" applyAlignment="1" applyProtection="1" quotePrefix="1">
      <alignment horizontal="center" vertical="center" wrapText="1"/>
      <protection/>
    </xf>
    <xf numFmtId="0" fontId="62" fillId="2" borderId="17" xfId="0" applyFont="1" applyFill="1" applyBorder="1" applyAlignment="1" applyProtection="1">
      <alignment horizontal="left" vertical="center"/>
      <protection/>
    </xf>
    <xf numFmtId="0" fontId="62" fillId="2" borderId="18" xfId="0" applyFont="1" applyFill="1" applyBorder="1" applyAlignment="1" applyProtection="1">
      <alignment horizontal="left" vertical="center"/>
      <protection/>
    </xf>
    <xf numFmtId="0" fontId="41" fillId="33" borderId="16" xfId="0" applyFont="1" applyFill="1" applyBorder="1" applyAlignment="1" applyProtection="1" quotePrefix="1">
      <alignment horizontal="left" vertical="center"/>
      <protection/>
    </xf>
    <xf numFmtId="0" fontId="62" fillId="2" borderId="18" xfId="0" applyFont="1" applyFill="1" applyBorder="1" applyAlignment="1" applyProtection="1" quotePrefix="1">
      <alignment horizontal="left" vertical="center" wrapText="1"/>
      <protection/>
    </xf>
    <xf numFmtId="0" fontId="131" fillId="0" borderId="0" xfId="0" applyFont="1" applyAlignment="1" applyProtection="1">
      <alignment horizontal="center"/>
      <protection/>
    </xf>
    <xf numFmtId="8" fontId="132" fillId="2" borderId="13" xfId="0" applyNumberFormat="1" applyFont="1" applyFill="1" applyBorder="1" applyAlignment="1" applyProtection="1">
      <alignment horizontal="center" vertical="center"/>
      <protection/>
    </xf>
    <xf numFmtId="167" fontId="133" fillId="2" borderId="14" xfId="0" applyNumberFormat="1" applyFont="1" applyFill="1" applyBorder="1" applyAlignment="1" applyProtection="1">
      <alignment horizontal="left" vertical="center"/>
      <protection/>
    </xf>
    <xf numFmtId="8" fontId="132" fillId="2" borderId="14" xfId="0" applyNumberFormat="1" applyFont="1" applyFill="1" applyBorder="1" applyAlignment="1" applyProtection="1">
      <alignment horizontal="center" vertical="center"/>
      <protection/>
    </xf>
    <xf numFmtId="9" fontId="134" fillId="2" borderId="12" xfId="0" applyNumberFormat="1" applyFont="1" applyFill="1" applyBorder="1" applyAlignment="1" applyProtection="1">
      <alignment horizontal="center" vertical="center" wrapText="1"/>
      <protection/>
    </xf>
    <xf numFmtId="167" fontId="133" fillId="2" borderId="14" xfId="0" applyNumberFormat="1" applyFont="1" applyFill="1" applyBorder="1" applyAlignment="1" applyProtection="1" quotePrefix="1">
      <alignment horizontal="left" vertical="center"/>
      <protection/>
    </xf>
    <xf numFmtId="166" fontId="32" fillId="0" borderId="18" xfId="0" applyNumberFormat="1" applyFont="1" applyBorder="1" applyAlignment="1" applyProtection="1">
      <alignment horizontal="center" vertical="center" wrapText="1"/>
      <protection/>
    </xf>
    <xf numFmtId="166" fontId="32" fillId="0" borderId="0" xfId="0" applyNumberFormat="1" applyFont="1" applyBorder="1" applyAlignment="1" applyProtection="1">
      <alignment horizontal="center" vertical="center" wrapText="1"/>
      <protection/>
    </xf>
    <xf numFmtId="0" fontId="106" fillId="33" borderId="26" xfId="0" applyFont="1" applyFill="1" applyBorder="1" applyAlignment="1" applyProtection="1">
      <alignment horizontal="right" vertical="center"/>
      <protection/>
    </xf>
    <xf numFmtId="0" fontId="0" fillId="0" borderId="24" xfId="0" applyBorder="1" applyAlignment="1" applyProtection="1">
      <alignment horizontal="center"/>
      <protection/>
    </xf>
    <xf numFmtId="168" fontId="32" fillId="0" borderId="14" xfId="0" applyNumberFormat="1" applyFont="1" applyBorder="1" applyAlignment="1" applyProtection="1">
      <alignment horizontal="center" vertical="center" wrapText="1"/>
      <protection/>
    </xf>
    <xf numFmtId="0" fontId="115" fillId="0" borderId="12" xfId="0" applyFont="1" applyBorder="1" applyAlignment="1" applyProtection="1">
      <alignment horizontal="center" vertical="center" wrapText="1"/>
      <protection/>
    </xf>
    <xf numFmtId="0" fontId="0" fillId="0" borderId="18" xfId="0" applyBorder="1" applyAlignment="1" applyProtection="1">
      <alignment horizontal="center"/>
      <protection/>
    </xf>
    <xf numFmtId="0" fontId="67" fillId="0" borderId="0" xfId="0" applyFont="1" applyFill="1" applyBorder="1" applyAlignment="1" applyProtection="1">
      <alignment vertical="center" wrapText="1"/>
      <protection/>
    </xf>
    <xf numFmtId="8" fontId="117" fillId="0" borderId="0" xfId="0" applyNumberFormat="1" applyFont="1" applyFill="1" applyBorder="1" applyAlignment="1" applyProtection="1">
      <alignment vertical="center"/>
      <protection/>
    </xf>
    <xf numFmtId="0" fontId="135" fillId="33" borderId="24" xfId="0" applyFont="1" applyFill="1" applyBorder="1" applyAlignment="1" applyProtection="1">
      <alignment horizontal="center" vertical="center"/>
      <protection/>
    </xf>
    <xf numFmtId="1" fontId="0" fillId="0" borderId="0" xfId="0" applyNumberFormat="1" applyAlignment="1">
      <alignment/>
    </xf>
    <xf numFmtId="170" fontId="0" fillId="0" borderId="0" xfId="0" applyNumberFormat="1" applyAlignment="1">
      <alignment/>
    </xf>
    <xf numFmtId="0" fontId="136" fillId="33" borderId="16" xfId="53" applyFont="1" applyFill="1" applyBorder="1" applyAlignment="1" applyProtection="1">
      <alignment horizontal="center" vertical="center"/>
      <protection/>
    </xf>
    <xf numFmtId="0" fontId="0" fillId="2" borderId="0" xfId="0" applyFont="1" applyFill="1" applyAlignment="1" applyProtection="1">
      <alignment horizontal="left" vertical="center"/>
      <protection/>
    </xf>
    <xf numFmtId="0" fontId="91" fillId="2" borderId="11" xfId="53" applyFill="1" applyBorder="1" applyAlignment="1" applyProtection="1">
      <alignment horizontal="right" vertical="center" wrapText="1"/>
      <protection/>
    </xf>
    <xf numFmtId="0" fontId="115" fillId="2" borderId="0" xfId="0" applyFont="1" applyFill="1" applyBorder="1" applyAlignment="1" applyProtection="1">
      <alignment horizontal="center" vertical="center" wrapText="1"/>
      <protection/>
    </xf>
    <xf numFmtId="0" fontId="137" fillId="2" borderId="11" xfId="0" applyFont="1" applyFill="1" applyBorder="1" applyAlignment="1" applyProtection="1" quotePrefix="1">
      <alignment horizontal="right" vertical="center"/>
      <protection/>
    </xf>
    <xf numFmtId="0" fontId="138" fillId="33" borderId="21" xfId="0" applyFont="1" applyFill="1" applyBorder="1" applyAlignment="1" applyProtection="1">
      <alignment horizontal="left" vertical="center" indent="3"/>
      <protection/>
    </xf>
    <xf numFmtId="0" fontId="0" fillId="0" borderId="0" xfId="0" applyFont="1" applyAlignment="1">
      <alignment/>
    </xf>
    <xf numFmtId="0" fontId="96" fillId="33" borderId="11" xfId="0" applyFont="1" applyFill="1" applyBorder="1" applyAlignment="1">
      <alignment horizontal="center" vertical="center"/>
    </xf>
    <xf numFmtId="0" fontId="106" fillId="33" borderId="0" xfId="0" applyFont="1" applyFill="1" applyBorder="1" applyAlignment="1">
      <alignment horizontal="right" vertical="center"/>
    </xf>
    <xf numFmtId="167" fontId="96" fillId="0" borderId="22" xfId="0" applyNumberFormat="1" applyFont="1" applyBorder="1" applyAlignment="1" applyProtection="1">
      <alignment horizontal="center" vertical="center"/>
      <protection locked="0"/>
    </xf>
    <xf numFmtId="0" fontId="106" fillId="33" borderId="0" xfId="0" applyFont="1" applyFill="1" applyBorder="1" applyAlignment="1">
      <alignment horizontal="center" vertical="center" wrapText="1"/>
    </xf>
    <xf numFmtId="0" fontId="96" fillId="0" borderId="22" xfId="0" applyFont="1" applyBorder="1" applyAlignment="1" applyProtection="1">
      <alignment horizontal="center" vertical="center"/>
      <protection locked="0"/>
    </xf>
    <xf numFmtId="0" fontId="96" fillId="33" borderId="0" xfId="0" applyFont="1" applyFill="1" applyBorder="1" applyAlignment="1">
      <alignment horizontal="center" vertical="center"/>
    </xf>
    <xf numFmtId="0" fontId="96" fillId="33" borderId="20" xfId="0" applyFont="1" applyFill="1" applyBorder="1" applyAlignment="1">
      <alignment horizontal="center" vertical="center"/>
    </xf>
    <xf numFmtId="0" fontId="96" fillId="0" borderId="0" xfId="0" applyFont="1" applyAlignment="1">
      <alignment horizontal="center" vertical="center"/>
    </xf>
    <xf numFmtId="167" fontId="96" fillId="0" borderId="10" xfId="0" applyNumberFormat="1" applyFont="1" applyBorder="1" applyAlignment="1" applyProtection="1">
      <alignment horizontal="center" vertical="center"/>
      <protection locked="0"/>
    </xf>
    <xf numFmtId="0" fontId="96" fillId="33" borderId="13" xfId="0" applyFont="1" applyFill="1" applyBorder="1" applyAlignment="1">
      <alignment/>
    </xf>
    <xf numFmtId="0" fontId="96" fillId="33" borderId="14" xfId="0" applyFont="1" applyFill="1" applyBorder="1" applyAlignment="1">
      <alignment/>
    </xf>
    <xf numFmtId="0" fontId="96" fillId="33" borderId="12" xfId="0" applyFont="1" applyFill="1" applyBorder="1" applyAlignment="1">
      <alignment/>
    </xf>
    <xf numFmtId="0" fontId="96" fillId="0" borderId="0" xfId="0" applyFont="1" applyAlignment="1">
      <alignment/>
    </xf>
    <xf numFmtId="0" fontId="128" fillId="0" borderId="0" xfId="0" applyFont="1" applyAlignment="1">
      <alignment/>
    </xf>
    <xf numFmtId="0" fontId="128" fillId="0" borderId="0" xfId="0" applyFont="1" applyAlignment="1">
      <alignment vertical="center"/>
    </xf>
    <xf numFmtId="0" fontId="139" fillId="0" borderId="0" xfId="0" applyFont="1" applyAlignment="1">
      <alignment horizontal="right"/>
    </xf>
    <xf numFmtId="0" fontId="0" fillId="0" borderId="0" xfId="0" applyFont="1" applyAlignment="1">
      <alignment horizontal="center"/>
    </xf>
    <xf numFmtId="0" fontId="96" fillId="33" borderId="16" xfId="0" applyFont="1" applyFill="1" applyBorder="1" applyAlignment="1">
      <alignment/>
    </xf>
    <xf numFmtId="0" fontId="107" fillId="33" borderId="21" xfId="0" applyFont="1" applyFill="1" applyBorder="1" applyAlignment="1">
      <alignment/>
    </xf>
    <xf numFmtId="0" fontId="96" fillId="33" borderId="21" xfId="0" applyFont="1" applyFill="1" applyBorder="1" applyAlignment="1">
      <alignment/>
    </xf>
    <xf numFmtId="0" fontId="96" fillId="33" borderId="24" xfId="0" applyFont="1" applyFill="1" applyBorder="1" applyAlignment="1">
      <alignment/>
    </xf>
    <xf numFmtId="0" fontId="91" fillId="0" borderId="0" xfId="53" applyAlignment="1" applyProtection="1">
      <alignment vertical="center"/>
      <protection/>
    </xf>
    <xf numFmtId="0" fontId="138" fillId="2" borderId="0" xfId="0" applyFont="1" applyFill="1" applyBorder="1" applyAlignment="1" applyProtection="1">
      <alignment horizontal="center" vertical="center" wrapText="1"/>
      <protection/>
    </xf>
    <xf numFmtId="0" fontId="140" fillId="2" borderId="11" xfId="0" applyFont="1" applyFill="1" applyBorder="1" applyAlignment="1" applyProtection="1">
      <alignment horizontal="right" vertical="center"/>
      <protection/>
    </xf>
    <xf numFmtId="0" fontId="126" fillId="2" borderId="0" xfId="0" applyFont="1" applyFill="1" applyAlignment="1" applyProtection="1">
      <alignment horizontal="left" vertical="center"/>
      <protection/>
    </xf>
    <xf numFmtId="14" fontId="0" fillId="0" borderId="0" xfId="0" applyNumberFormat="1" applyAlignment="1">
      <alignment/>
    </xf>
    <xf numFmtId="0" fontId="73" fillId="2" borderId="13" xfId="53" applyFont="1" applyFill="1" applyBorder="1" applyAlignment="1" applyProtection="1">
      <alignment horizontal="right" vertical="center"/>
      <protection/>
    </xf>
    <xf numFmtId="0" fontId="58" fillId="0" borderId="17" xfId="0" applyFont="1" applyFill="1" applyBorder="1" applyAlignment="1" applyProtection="1">
      <alignment horizontal="center" vertical="center" wrapText="1"/>
      <protection/>
    </xf>
    <xf numFmtId="0" fontId="115" fillId="0" borderId="19" xfId="0" applyFont="1" applyFill="1" applyBorder="1" applyAlignment="1" applyProtection="1">
      <alignment horizontal="center" vertical="center" wrapText="1"/>
      <protection/>
    </xf>
    <xf numFmtId="179" fontId="0" fillId="0" borderId="0" xfId="0" applyNumberFormat="1" applyAlignment="1">
      <alignment/>
    </xf>
    <xf numFmtId="0" fontId="96" fillId="0" borderId="0" xfId="58">
      <alignment/>
      <protection/>
    </xf>
    <xf numFmtId="10" fontId="0" fillId="0" borderId="0" xfId="0" applyNumberFormat="1" applyAlignment="1">
      <alignment/>
    </xf>
    <xf numFmtId="0" fontId="101" fillId="0" borderId="0" xfId="0" applyFont="1" applyAlignment="1">
      <alignment horizontal="left" wrapText="1"/>
    </xf>
    <xf numFmtId="0" fontId="141" fillId="0" borderId="0" xfId="0" applyFont="1" applyAlignment="1">
      <alignment horizontal="center" vertical="center"/>
    </xf>
    <xf numFmtId="0" fontId="142" fillId="0" borderId="0" xfId="0" applyFont="1" applyAlignment="1">
      <alignment horizontal="left"/>
    </xf>
    <xf numFmtId="0" fontId="119" fillId="0" borderId="0" xfId="0" applyFont="1" applyAlignment="1">
      <alignment horizontal="left"/>
    </xf>
    <xf numFmtId="167" fontId="76" fillId="2" borderId="18" xfId="0" applyNumberFormat="1" applyFont="1" applyFill="1" applyBorder="1" applyAlignment="1" applyProtection="1">
      <alignment horizontal="center" vertical="center"/>
      <protection/>
    </xf>
    <xf numFmtId="167" fontId="76" fillId="2" borderId="14" xfId="0" applyNumberFormat="1" applyFont="1" applyFill="1" applyBorder="1" applyAlignment="1" applyProtection="1">
      <alignment horizontal="center" vertical="center"/>
      <protection/>
    </xf>
    <xf numFmtId="0" fontId="115" fillId="2" borderId="19" xfId="0" applyFont="1" applyFill="1" applyBorder="1" applyAlignment="1" applyProtection="1">
      <alignment horizontal="center" vertical="center" wrapText="1"/>
      <protection/>
    </xf>
    <xf numFmtId="0" fontId="115" fillId="2" borderId="12" xfId="0" applyFont="1" applyFill="1" applyBorder="1" applyAlignment="1" applyProtection="1">
      <alignment horizontal="center" vertical="center" wrapText="1"/>
      <protection/>
    </xf>
    <xf numFmtId="9" fontId="143" fillId="0" borderId="0" xfId="61" applyFont="1" applyFill="1" applyBorder="1" applyAlignment="1" applyProtection="1">
      <alignment horizontal="center" vertical="center"/>
      <protection/>
    </xf>
    <xf numFmtId="0" fontId="106" fillId="0" borderId="18" xfId="0" applyFont="1" applyBorder="1" applyAlignment="1" applyProtection="1">
      <alignment horizontal="right" vertical="top"/>
      <protection/>
    </xf>
    <xf numFmtId="0" fontId="76" fillId="0" borderId="0" xfId="0" applyFont="1" applyAlignment="1" applyProtection="1">
      <alignment horizontal="right" vertical="center"/>
      <protection/>
    </xf>
    <xf numFmtId="0" fontId="117" fillId="0" borderId="0" xfId="0" applyFont="1" applyBorder="1" applyAlignment="1" applyProtection="1">
      <alignment horizontal="left" vertical="center" indent="2"/>
      <protection/>
    </xf>
    <xf numFmtId="0" fontId="41" fillId="33" borderId="16" xfId="0" applyFont="1" applyFill="1" applyBorder="1" applyAlignment="1" applyProtection="1">
      <alignment horizontal="left" vertical="center" wrapText="1"/>
      <protection/>
    </xf>
    <xf numFmtId="0" fontId="41" fillId="33" borderId="21" xfId="0" applyFont="1" applyFill="1" applyBorder="1" applyAlignment="1" applyProtection="1">
      <alignment horizontal="left" vertical="center" wrapText="1"/>
      <protection/>
    </xf>
    <xf numFmtId="0" fontId="144" fillId="0" borderId="21" xfId="0" applyFont="1" applyBorder="1" applyAlignment="1" applyProtection="1">
      <alignment horizontal="center" vertical="center"/>
      <protection/>
    </xf>
    <xf numFmtId="0" fontId="116" fillId="0" borderId="11" xfId="0" applyFont="1" applyFill="1" applyBorder="1" applyAlignment="1" applyProtection="1">
      <alignment horizontal="center" vertical="center" wrapText="1"/>
      <protection/>
    </xf>
    <xf numFmtId="0" fontId="116" fillId="0" borderId="20" xfId="0" applyFont="1" applyFill="1" applyBorder="1" applyAlignment="1" applyProtection="1">
      <alignment horizontal="center" vertical="center" wrapText="1"/>
      <protection/>
    </xf>
    <xf numFmtId="170" fontId="34" fillId="2" borderId="14" xfId="0" applyNumberFormat="1" applyFont="1" applyFill="1" applyBorder="1" applyAlignment="1" applyProtection="1">
      <alignment horizontal="left" vertical="center" indent="1"/>
      <protection/>
    </xf>
    <xf numFmtId="170" fontId="34" fillId="2" borderId="12" xfId="0" applyNumberFormat="1" applyFont="1" applyFill="1" applyBorder="1" applyAlignment="1" applyProtection="1">
      <alignment horizontal="left" vertical="center" indent="1"/>
      <protection/>
    </xf>
    <xf numFmtId="0" fontId="78" fillId="2" borderId="17" xfId="0" applyFont="1" applyFill="1" applyBorder="1" applyAlignment="1" applyProtection="1">
      <alignment horizontal="center" vertical="center"/>
      <protection/>
    </xf>
    <xf numFmtId="0" fontId="78" fillId="2" borderId="13" xfId="0" applyFont="1" applyFill="1" applyBorder="1" applyAlignment="1" applyProtection="1">
      <alignment horizontal="center" vertical="center"/>
      <protection/>
    </xf>
    <xf numFmtId="0" fontId="116" fillId="0" borderId="11" xfId="0" applyFont="1" applyBorder="1" applyAlignment="1" applyProtection="1">
      <alignment horizontal="center" vertical="center"/>
      <protection/>
    </xf>
    <xf numFmtId="0" fontId="116" fillId="0" borderId="20" xfId="0" applyFont="1" applyBorder="1" applyAlignment="1" applyProtection="1">
      <alignment horizontal="center" vertical="center"/>
      <protection/>
    </xf>
    <xf numFmtId="0" fontId="67" fillId="2" borderId="18" xfId="0" applyFont="1" applyFill="1" applyBorder="1" applyAlignment="1" applyProtection="1">
      <alignment horizontal="center" vertical="center" wrapText="1"/>
      <protection/>
    </xf>
    <xf numFmtId="0" fontId="67" fillId="2" borderId="14" xfId="0" applyFont="1" applyFill="1" applyBorder="1" applyAlignment="1" applyProtection="1">
      <alignment horizontal="center" vertical="center" wrapText="1"/>
      <protection/>
    </xf>
    <xf numFmtId="0" fontId="145" fillId="0" borderId="0" xfId="0" applyFont="1" applyBorder="1" applyAlignment="1" applyProtection="1">
      <alignment horizontal="left" vertical="center" indent="2"/>
      <protection/>
    </xf>
    <xf numFmtId="0" fontId="62" fillId="2" borderId="17" xfId="0" applyFont="1" applyFill="1" applyBorder="1" applyAlignment="1" applyProtection="1">
      <alignment horizontal="left" vertical="center"/>
      <protection/>
    </xf>
    <xf numFmtId="0" fontId="62" fillId="2" borderId="18" xfId="0" applyFont="1" applyFill="1" applyBorder="1" applyAlignment="1" applyProtection="1">
      <alignment horizontal="left" vertical="center"/>
      <protection/>
    </xf>
    <xf numFmtId="0" fontId="62" fillId="2" borderId="18" xfId="0" applyFont="1" applyFill="1" applyBorder="1" applyAlignment="1" applyProtection="1" quotePrefix="1">
      <alignment horizontal="left" vertical="center" wrapText="1"/>
      <protection/>
    </xf>
    <xf numFmtId="0" fontId="62" fillId="2" borderId="19" xfId="0" applyFont="1" applyFill="1" applyBorder="1" applyAlignment="1" applyProtection="1" quotePrefix="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11">
    <dxf>
      <font>
        <color theme="4" tint="0.7999799847602844"/>
      </font>
    </dxf>
    <dxf>
      <font>
        <color theme="4" tint="0.7999799847602844"/>
      </font>
    </dxf>
    <dxf>
      <font>
        <color theme="4" tint="0.7999799847602844"/>
      </font>
    </dxf>
    <dxf>
      <font>
        <color theme="4" tint="0.7999799847602844"/>
      </font>
    </dxf>
    <dxf>
      <font>
        <color theme="0"/>
      </font>
    </dxf>
    <dxf>
      <font>
        <color theme="4" tint="0.7999799847602844"/>
      </font>
    </dxf>
    <dxf>
      <fill>
        <patternFill>
          <bgColor theme="4" tint="0.7999799847602844"/>
        </patternFill>
      </fill>
      <border>
        <left/>
        <right/>
        <bottom/>
      </border>
    </dxf>
    <dxf>
      <fill>
        <patternFill>
          <bgColor theme="4" tint="0.7999799847602844"/>
        </patternFill>
      </fill>
      <border>
        <left/>
        <right/>
        <bottom/>
      </border>
    </dxf>
    <dxf>
      <font>
        <color theme="4" tint="0.7999799847602844"/>
      </font>
    </dxf>
    <dxf>
      <font>
        <color theme="4" tint="0.7999799847602844"/>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8"/>
  <dimension ref="A2:I18"/>
  <sheetViews>
    <sheetView showGridLines="0" showRowColHeaders="0" zoomScalePageLayoutView="0" workbookViewId="0" topLeftCell="A1">
      <selection activeCell="C9" sqref="C9"/>
    </sheetView>
  </sheetViews>
  <sheetFormatPr defaultColWidth="8.8515625" defaultRowHeight="15"/>
  <cols>
    <col min="1" max="1" width="3.7109375" style="0" customWidth="1"/>
    <col min="2" max="2" width="28.421875" style="0" customWidth="1"/>
    <col min="3" max="3" width="12.8515625" style="0" customWidth="1"/>
    <col min="4" max="4" width="23.8515625" style="0" customWidth="1"/>
    <col min="5" max="5" width="11.7109375" style="0" customWidth="1"/>
    <col min="6" max="6" width="3.140625" style="0" customWidth="1"/>
    <col min="7" max="7" width="19.8515625" style="0" customWidth="1"/>
    <col min="8" max="8" width="13.8515625" style="0" customWidth="1"/>
    <col min="9" max="9" width="3.140625" style="0" customWidth="1"/>
  </cols>
  <sheetData>
    <row r="1" ht="12" customHeight="1"/>
    <row r="2" spans="2:8" ht="30" customHeight="1">
      <c r="B2" s="173" t="s">
        <v>94</v>
      </c>
      <c r="C2" s="173"/>
      <c r="D2" s="173"/>
      <c r="E2" s="173"/>
      <c r="F2" s="173"/>
      <c r="G2" s="173"/>
      <c r="H2" s="173"/>
    </row>
    <row r="3" ht="15">
      <c r="H3" s="103" t="str">
        <f>"Version "&amp;TEXT(Version,"0.00")</f>
        <v>Version 2.12</v>
      </c>
    </row>
    <row r="4" spans="2:8" s="139" customFormat="1" ht="66.75" customHeight="1">
      <c r="B4" s="172" t="s">
        <v>79</v>
      </c>
      <c r="C4" s="172"/>
      <c r="D4" s="172"/>
      <c r="E4" s="172"/>
      <c r="F4" s="172"/>
      <c r="G4" s="172"/>
      <c r="H4" s="172"/>
    </row>
    <row r="5" s="153" customFormat="1" ht="18.75" customHeight="1">
      <c r="B5" s="154" t="s">
        <v>78</v>
      </c>
    </row>
    <row r="6" ht="10.5" customHeight="1"/>
    <row r="7" spans="1:9" s="152" customFormat="1" ht="15.75">
      <c r="A7" s="157"/>
      <c r="B7" s="158" t="s">
        <v>67</v>
      </c>
      <c r="C7" s="159"/>
      <c r="D7" s="159"/>
      <c r="E7" s="159"/>
      <c r="F7" s="159"/>
      <c r="G7" s="159"/>
      <c r="H7" s="159"/>
      <c r="I7" s="160"/>
    </row>
    <row r="8" spans="1:9" s="147" customFormat="1" ht="51" customHeight="1">
      <c r="A8" s="140"/>
      <c r="B8" s="141" t="s">
        <v>68</v>
      </c>
      <c r="C8" s="142">
        <v>8.95</v>
      </c>
      <c r="D8" s="143" t="s">
        <v>56</v>
      </c>
      <c r="E8" s="144">
        <v>1</v>
      </c>
      <c r="F8" s="145"/>
      <c r="G8" s="143" t="s">
        <v>70</v>
      </c>
      <c r="H8" s="142">
        <v>0.75</v>
      </c>
      <c r="I8" s="146"/>
    </row>
    <row r="9" spans="1:9" s="147" customFormat="1" ht="47.25" customHeight="1">
      <c r="A9" s="140"/>
      <c r="B9" s="141" t="s">
        <v>69</v>
      </c>
      <c r="C9" s="148">
        <v>0.75</v>
      </c>
      <c r="D9" s="145"/>
      <c r="E9" s="145"/>
      <c r="F9" s="145"/>
      <c r="G9" s="145"/>
      <c r="H9" s="145"/>
      <c r="I9" s="146"/>
    </row>
    <row r="10" spans="1:9" s="152" customFormat="1" ht="8.25" customHeight="1">
      <c r="A10" s="149"/>
      <c r="B10" s="150"/>
      <c r="C10" s="150"/>
      <c r="D10" s="150"/>
      <c r="E10" s="150"/>
      <c r="F10" s="150"/>
      <c r="G10" s="150"/>
      <c r="H10" s="150"/>
      <c r="I10" s="151"/>
    </row>
    <row r="11" ht="9" customHeight="1"/>
    <row r="12" s="95" customFormat="1" ht="24.75" customHeight="1">
      <c r="B12" s="161"/>
    </row>
    <row r="14" s="95" customFormat="1" ht="24.75" customHeight="1">
      <c r="B14" s="161"/>
    </row>
    <row r="15" ht="8.25" customHeight="1"/>
    <row r="16" spans="2:7" s="139" customFormat="1" ht="18.75">
      <c r="B16" s="155" t="s">
        <v>74</v>
      </c>
      <c r="C16" s="175" t="s">
        <v>76</v>
      </c>
      <c r="D16" s="175"/>
      <c r="E16" s="175"/>
      <c r="F16" s="175"/>
      <c r="G16" s="175"/>
    </row>
    <row r="17" spans="2:5" s="139" customFormat="1" ht="9.75" customHeight="1">
      <c r="B17" s="155"/>
      <c r="C17" s="156"/>
      <c r="D17" s="156"/>
      <c r="E17" s="156"/>
    </row>
    <row r="18" spans="2:7" s="139" customFormat="1" ht="18.75">
      <c r="B18" s="155" t="s">
        <v>75</v>
      </c>
      <c r="C18" s="174" t="s">
        <v>77</v>
      </c>
      <c r="D18" s="174"/>
      <c r="E18" s="174"/>
      <c r="F18" s="174"/>
      <c r="G18" s="174"/>
    </row>
  </sheetData>
  <sheetProtection sheet="1" selectLockedCells="1"/>
  <mergeCells count="4">
    <mergeCell ref="B4:H4"/>
    <mergeCell ref="B2:H2"/>
    <mergeCell ref="C18:G18"/>
    <mergeCell ref="C16:G16"/>
  </mergeCells>
  <printOptions/>
  <pageMargins left="0.7" right="0.7" top="0.75" bottom="0.75" header="0.3" footer="0.3"/>
  <pageSetup horizontalDpi="600" verticalDpi="600" orientation="portrait"/>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18"/>
  <sheetViews>
    <sheetView showGridLines="0" showRowColHeaders="0" showZeros="0" zoomScalePageLayoutView="0" workbookViewId="0" topLeftCell="A1">
      <selection activeCell="E10" sqref="E10"/>
    </sheetView>
  </sheetViews>
  <sheetFormatPr defaultColWidth="11.421875" defaultRowHeight="15"/>
  <cols>
    <col min="1" max="1" width="34.28125" style="11" customWidth="1"/>
    <col min="2" max="2" width="16.421875" style="11" customWidth="1"/>
    <col min="3" max="3" width="19.140625" style="11" customWidth="1"/>
    <col min="4" max="4" width="37.140625" style="11" customWidth="1"/>
    <col min="5" max="7" width="18.00390625" style="11" customWidth="1"/>
    <col min="8" max="8" width="2.140625" style="35" customWidth="1"/>
    <col min="9" max="9" width="11.140625" style="11" customWidth="1"/>
    <col min="10" max="10" width="5.00390625" style="11" customWidth="1"/>
    <col min="11" max="11" width="5.7109375" style="11" customWidth="1"/>
    <col min="12" max="16384" width="11.421875" style="11" customWidth="1"/>
  </cols>
  <sheetData>
    <row r="1" spans="1:9" s="33" customFormat="1" ht="21" customHeight="1">
      <c r="A1" s="182" t="s">
        <v>94</v>
      </c>
      <c r="B1" s="182"/>
      <c r="C1" s="182"/>
      <c r="D1" s="182"/>
      <c r="E1" s="183" t="s">
        <v>28</v>
      </c>
      <c r="F1" s="183"/>
      <c r="I1" s="103" t="str">
        <f>"Version "&amp;TEXT(Version,"0.00")</f>
        <v>Version 2.12</v>
      </c>
    </row>
    <row r="2" spans="1:4" ht="4.5" customHeight="1">
      <c r="A2" s="14"/>
      <c r="B2" s="14"/>
      <c r="C2" s="14"/>
      <c r="D2" s="14"/>
    </row>
    <row r="3" spans="4:8" s="9" customFormat="1" ht="25.5" customHeight="1">
      <c r="D3" s="98" t="s">
        <v>29</v>
      </c>
      <c r="E3" s="99"/>
      <c r="F3" s="99"/>
      <c r="G3" s="100"/>
      <c r="H3" s="53"/>
    </row>
    <row r="4" spans="1:8" s="10" customFormat="1" ht="31.5" customHeight="1">
      <c r="A4" s="32" t="s">
        <v>73</v>
      </c>
      <c r="B4" s="31" t="s">
        <v>33</v>
      </c>
      <c r="C4" s="60" t="s">
        <v>27</v>
      </c>
      <c r="D4" s="23"/>
      <c r="G4" s="24"/>
      <c r="H4" s="42"/>
    </row>
    <row r="5" spans="1:14" s="10" customFormat="1" ht="33" customHeight="1">
      <c r="A5" s="62" t="s">
        <v>90</v>
      </c>
      <c r="B5" s="30">
        <f>IF(Ticker=0,"",Last)</f>
        <v>77</v>
      </c>
      <c r="C5" s="61">
        <f>IF(Ticker=0,"",change)</f>
        <v>0.16</v>
      </c>
      <c r="D5" s="63" t="s">
        <v>30</v>
      </c>
      <c r="E5" s="64" t="str">
        <f>IF(Dates!B14=Dates!D11,"Front Month 
(less than week)","Weekly 
(if Available)")</f>
        <v>Weekly 
(if Available)</v>
      </c>
      <c r="F5" s="64" t="str">
        <f>IF(Dates!B14=Dates!D11,"Second Month","Front Month")</f>
        <v>Front Month</v>
      </c>
      <c r="G5" s="64" t="str">
        <f>IF(Dates!B14=Dates!D11,"Third Month","Second Month")</f>
        <v>Second Month</v>
      </c>
      <c r="H5" s="43"/>
      <c r="K5" s="15"/>
      <c r="L5" s="16">
        <f>+Dates!C14</f>
        <v>7</v>
      </c>
      <c r="M5" s="16">
        <f>+Dates!C15</f>
        <v>36</v>
      </c>
      <c r="N5" s="16">
        <f>+Dates!C16</f>
        <v>64</v>
      </c>
    </row>
    <row r="6" spans="1:8" s="8" customFormat="1" ht="24.75" customHeight="1">
      <c r="A6" s="186" t="str">
        <f>IF(companyname="(invalid symbol)","",+companyname)</f>
        <v>iShares Russell 2000 Index </v>
      </c>
      <c r="B6" s="186"/>
      <c r="C6" s="186"/>
      <c r="D6" s="34"/>
      <c r="E6" s="25">
        <f>IF(+Dates!E14=F6,"",Dates!E14)</f>
        <v>41236</v>
      </c>
      <c r="F6" s="25">
        <f>+Dates!E15</f>
        <v>41265</v>
      </c>
      <c r="G6" s="25">
        <f>+Dates!E16</f>
        <v>41293</v>
      </c>
      <c r="H6" s="44"/>
    </row>
    <row r="7" spans="1:14" s="8" customFormat="1" ht="24.75" customHeight="1" thickBot="1">
      <c r="A7" s="184" t="s">
        <v>80</v>
      </c>
      <c r="B7" s="185"/>
      <c r="C7" s="88"/>
      <c r="D7" s="22" t="s">
        <v>40</v>
      </c>
      <c r="E7" s="67">
        <f>IF(E6="","",IF(B5&lt;&gt;"",0.2*Last/365*L7+tradecost/100,""))</f>
        <v>0.40734246575342464</v>
      </c>
      <c r="F7" s="67">
        <f>IF(F6="","",IF(B5&lt;&gt;"",0.2*Last/365*M7+tradecost/100,""))</f>
        <v>1.630904109589041</v>
      </c>
      <c r="G7" s="67">
        <f>IF(G6="","",IF(B5&lt;&gt;"",0.2*Last/365*N7+tradecost/100,""))</f>
        <v>2.81227397260274</v>
      </c>
      <c r="H7" s="45"/>
      <c r="L7" s="19">
        <f ca="1">+E6-TODAY()</f>
        <v>7</v>
      </c>
      <c r="M7" s="19">
        <f ca="1">+F6-TODAY()</f>
        <v>36</v>
      </c>
      <c r="N7" s="19">
        <f ca="1">+G6-TODAY()</f>
        <v>64</v>
      </c>
    </row>
    <row r="8" spans="1:8" s="8" customFormat="1" ht="24.75" customHeight="1">
      <c r="A8" s="134"/>
      <c r="B8" s="134"/>
      <c r="C8" s="134"/>
      <c r="D8" s="26" t="str">
        <f>IF(B13="Calls","Look for strikes above: ","Look for strikes below: ")</f>
        <v>Look for strikes below: </v>
      </c>
      <c r="E8" s="65">
        <f>IF(B13="Calls",MAX(B14,ROUNDUP(B5,0)),MAX(B10,B12))</f>
        <v>78</v>
      </c>
      <c r="F8" s="27"/>
      <c r="G8" s="28"/>
      <c r="H8" s="46"/>
    </row>
    <row r="9" spans="1:8" s="12" customFormat="1" ht="24.75" customHeight="1">
      <c r="A9" s="135"/>
      <c r="B9" s="18">
        <v>83</v>
      </c>
      <c r="C9" s="164" t="s">
        <v>86</v>
      </c>
      <c r="D9" s="38" t="s">
        <v>32</v>
      </c>
      <c r="E9" s="39"/>
      <c r="F9" s="39"/>
      <c r="G9" s="40"/>
      <c r="H9" s="47"/>
    </row>
    <row r="10" spans="1:8" s="12" customFormat="1" ht="24.75" customHeight="1">
      <c r="A10" s="137"/>
      <c r="B10" s="18">
        <v>76</v>
      </c>
      <c r="C10" s="164" t="s">
        <v>87</v>
      </c>
      <c r="D10" s="56" t="s">
        <v>31</v>
      </c>
      <c r="E10" s="36">
        <v>76</v>
      </c>
      <c r="F10" s="167" t="str">
        <f>IF(E10&gt;0,IF(B13="Calls","REMEMBER: You may SELL at $"&amp;TEXT(ROUNDUP(E10,0),"0"),"REMEMBER: You may BUY at $"&amp;TEXT(ROUNDUP(E10,0),"0")),"")</f>
        <v>REMEMBER: You may BUY at $76</v>
      </c>
      <c r="G10" s="168">
        <f>IF(AND(E10&gt;0,E10&lt;B14,B13="Calls"),"Strike is below basis price!",IF(AND(E10&gt;0,E10&gt;E8,B13="PUTS"),"Strike above Bollinger",IF(AND(E10&gt;0,E10&gt;B5),"Strike is in the money!","")))</f>
      </c>
      <c r="H10" s="48"/>
    </row>
    <row r="11" spans="1:8" s="13" customFormat="1" ht="24.75" customHeight="1">
      <c r="A11" s="137"/>
      <c r="B11" s="18">
        <v>87</v>
      </c>
      <c r="C11" s="164" t="s">
        <v>86</v>
      </c>
      <c r="D11" s="21" t="s">
        <v>34</v>
      </c>
      <c r="E11" s="37">
        <v>41236</v>
      </c>
      <c r="F11" s="187">
        <f>IF(B16=0,"",IF(E11&gt;B16,"Ex-Dividend before Expiration",""))</f>
      </c>
      <c r="G11" s="188"/>
      <c r="H11" s="49"/>
    </row>
    <row r="12" spans="1:8" ht="24.75" customHeight="1">
      <c r="A12" s="137"/>
      <c r="B12" s="18">
        <v>78</v>
      </c>
      <c r="C12" s="164" t="s">
        <v>87</v>
      </c>
      <c r="D12" s="21" t="s">
        <v>35</v>
      </c>
      <c r="E12" s="66">
        <v>0.43</v>
      </c>
      <c r="F12" s="57"/>
      <c r="G12" s="58"/>
      <c r="H12" s="50"/>
    </row>
    <row r="13" spans="1:8" ht="24.75" customHeight="1">
      <c r="A13" s="163" t="s">
        <v>88</v>
      </c>
      <c r="B13" s="17" t="s">
        <v>100</v>
      </c>
      <c r="C13" s="136"/>
      <c r="D13" s="29" t="s">
        <v>36</v>
      </c>
      <c r="E13" s="55">
        <v>4</v>
      </c>
      <c r="F13" s="193"/>
      <c r="G13" s="194"/>
      <c r="H13" s="50"/>
    </row>
    <row r="14" spans="1:11" ht="24.75" customHeight="1">
      <c r="A14" s="163" t="str">
        <f>IF(B13="Calls","Basis price of shares owned?","Cash available for puts?")</f>
        <v>Cash available for puts?</v>
      </c>
      <c r="B14" s="18">
        <v>38000</v>
      </c>
      <c r="C14" s="136"/>
      <c r="D14" s="21"/>
      <c r="E14" s="97"/>
      <c r="F14" s="96"/>
      <c r="G14" s="59"/>
      <c r="H14" s="51"/>
      <c r="I14" s="133"/>
      <c r="J14" s="83"/>
      <c r="K14" s="82" t="s">
        <v>53</v>
      </c>
    </row>
    <row r="15" spans="1:11" ht="24.75" customHeight="1">
      <c r="A15" s="163">
        <f>IF(B13="Calls","Number of shares owned?","")</f>
      </c>
      <c r="B15" s="41"/>
      <c r="C15" s="162">
        <f>IF(B13="Puts","",IF(B15&gt;0,"Max contracts = "&amp;TEXT(ROUNDDOWN(B15/100,0),"0"),""))</f>
      </c>
      <c r="D15" s="191" t="str">
        <f>IF(E13=0,"APR","APR    "&amp;TEXT(E17,"0%"))</f>
        <v>APR    27%</v>
      </c>
      <c r="E15" s="195" t="s">
        <v>39</v>
      </c>
      <c r="F15" s="176">
        <f>IF(E13=0,,+E13*E12*100-commission)</f>
        <v>160.8</v>
      </c>
      <c r="G15" s="178">
        <f>IF(AND(F15&lt;100,F15&gt;0),"Total collected less than $100","")</f>
      </c>
      <c r="H15" s="51"/>
      <c r="I15" s="80" t="s">
        <v>37</v>
      </c>
      <c r="J15" s="92">
        <f>+'Getting Started'!C8</f>
        <v>8.95</v>
      </c>
      <c r="K15" s="93">
        <f>+'Getting Started'!E8</f>
        <v>1</v>
      </c>
    </row>
    <row r="16" spans="1:11" ht="24.75" customHeight="1">
      <c r="A16" s="166" t="s">
        <v>92</v>
      </c>
      <c r="B16" s="189" t="str">
        <f>IF(Ticker="SPY",'SPY Ex-Div'!D5,IF(Ticker="IWM","Go Check",""))</f>
        <v>Go Check</v>
      </c>
      <c r="C16" s="190"/>
      <c r="D16" s="192"/>
      <c r="E16" s="196"/>
      <c r="F16" s="177"/>
      <c r="G16" s="179"/>
      <c r="H16" s="52"/>
      <c r="I16" s="81" t="s">
        <v>38</v>
      </c>
      <c r="J16" s="94">
        <f>+'Getting Started'!C9</f>
        <v>0.75</v>
      </c>
      <c r="K16" s="79"/>
    </row>
    <row r="17" spans="1:5" ht="22.5" customHeight="1">
      <c r="A17" s="181">
        <f>IF(AND(Ticker="IWM",B13="Calls"),"Ex-Dividend is around the 3rd Friday of Mar, Jun, Sep, Dec","")</f>
      </c>
      <c r="B17" s="181"/>
      <c r="C17" s="181"/>
      <c r="E17" s="180">
        <f ca="1">IF(E13&gt;0,((E12*100*E13)-commission)/(Last*E13*100)*365/(E11-TODAY()),"")</f>
        <v>0.272226345083488</v>
      </c>
    </row>
    <row r="18" spans="5:7" ht="18.75">
      <c r="E18" s="180"/>
      <c r="G18" s="54"/>
    </row>
  </sheetData>
  <sheetProtection sheet="1" selectLockedCells="1"/>
  <mergeCells count="13">
    <mergeCell ref="D15:D16"/>
    <mergeCell ref="F13:G13"/>
    <mergeCell ref="E15:E16"/>
    <mergeCell ref="F15:F16"/>
    <mergeCell ref="G15:G16"/>
    <mergeCell ref="E17:E18"/>
    <mergeCell ref="A17:C17"/>
    <mergeCell ref="A1:D1"/>
    <mergeCell ref="E1:F1"/>
    <mergeCell ref="A7:B7"/>
    <mergeCell ref="A6:C6"/>
    <mergeCell ref="F11:G11"/>
    <mergeCell ref="B16:C16"/>
  </mergeCells>
  <conditionalFormatting sqref="A14:A15">
    <cfRule type="expression" priority="6" dxfId="9" stopIfTrue="1">
      <formula>IF($B$13=0,TRUE(),FALSE())</formula>
    </cfRule>
  </conditionalFormatting>
  <conditionalFormatting sqref="B15">
    <cfRule type="expression" priority="5" dxfId="6" stopIfTrue="1">
      <formula>IF($B$13="Puts",TRUE(),FALSE())</formula>
    </cfRule>
  </conditionalFormatting>
  <conditionalFormatting sqref="B14:B15">
    <cfRule type="expression" priority="4" dxfId="6" stopIfTrue="1">
      <formula>IF($B$13=0,TRUE(),FALSE())</formula>
    </cfRule>
  </conditionalFormatting>
  <conditionalFormatting sqref="A16:C16">
    <cfRule type="expression" priority="3" dxfId="9" stopIfTrue="1">
      <formula>IF($B$13="Puts",TRUE(),FALSE())</formula>
    </cfRule>
  </conditionalFormatting>
  <conditionalFormatting sqref="F11:G11">
    <cfRule type="expression" priority="2" dxfId="10" stopIfTrue="1">
      <formula>IF($B$13="Puts",TRUE(),FALSE())</formula>
    </cfRule>
  </conditionalFormatting>
  <dataValidations count="6">
    <dataValidation type="whole" allowBlank="1" showInputMessage="1" showErrorMessage="1" sqref="B14">
      <formula1>0</formula1>
      <formula2>100000</formula2>
    </dataValidation>
    <dataValidation type="list" allowBlank="1" showInputMessage="1" showErrorMessage="1" sqref="E11">
      <formula1>longlist</formula1>
    </dataValidation>
    <dataValidation allowBlank="1" showInputMessage="1" showErrorMessage="1" sqref="E1:F1"/>
    <dataValidation type="list" allowBlank="1" showInputMessage="1" showErrorMessage="1" sqref="B13">
      <formula1>"Calls,Puts"</formula1>
    </dataValidation>
    <dataValidation type="whole" operator="lessThanOrEqual" allowBlank="1" showInputMessage="1" showErrorMessage="1" errorTitle="Not Enough Shares" error="You do not have enough shares for that number of contracts. " sqref="E13">
      <formula1>IF(E10&gt;0,B14/E10/100,B14/B5/100)</formula1>
    </dataValidation>
    <dataValidation operator="greaterThan" allowBlank="1" showInputMessage="1" showErrorMessage="1" errorTitle="Please Enter Next Ex-Dividend" error="That date is in the past ...please input the next Ex-Dividend date in the future.  &#10;If unknown add 3 months to last for an aproximate date." sqref="B16"/>
  </dataValidations>
  <printOptions horizontalCentered="1"/>
  <pageMargins left="0.7" right="0.7" top="0.75" bottom="0.75" header="0.3" footer="0.3"/>
  <pageSetup fitToHeight="1" fitToWidth="1" horizontalDpi="600" verticalDpi="600" orientation="portrait" scale="56" r:id="rId2"/>
  <headerFooter>
    <oddHeader>&amp;Lv2.12&amp;R&amp;D</oddHeader>
  </headerFooter>
  <legacy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N26"/>
  <sheetViews>
    <sheetView showGridLines="0" showRowColHeaders="0" showZeros="0" tabSelected="1" zoomScalePageLayoutView="0" workbookViewId="0" topLeftCell="A1">
      <selection activeCell="A5" sqref="A5"/>
    </sheetView>
  </sheetViews>
  <sheetFormatPr defaultColWidth="11.421875" defaultRowHeight="15"/>
  <cols>
    <col min="1" max="1" width="34.28125" style="35" customWidth="1"/>
    <col min="2" max="2" width="16.421875" style="35" customWidth="1"/>
    <col min="3" max="3" width="25.421875" style="35" customWidth="1"/>
    <col min="4" max="4" width="37.00390625" style="35" customWidth="1"/>
    <col min="5" max="7" width="18.00390625" style="35" customWidth="1"/>
    <col min="8" max="8" width="1.8515625" style="35" customWidth="1"/>
    <col min="9" max="9" width="10.7109375" style="35" customWidth="1"/>
    <col min="10" max="10" width="5.421875" style="35" customWidth="1"/>
    <col min="11" max="11" width="6.7109375" style="35" customWidth="1"/>
    <col min="12" max="16384" width="11.421875" style="35" customWidth="1"/>
  </cols>
  <sheetData>
    <row r="1" spans="1:9" s="33" customFormat="1" ht="21" customHeight="1">
      <c r="A1" s="182" t="s">
        <v>94</v>
      </c>
      <c r="B1" s="182"/>
      <c r="C1" s="182"/>
      <c r="D1" s="182"/>
      <c r="E1" s="197" t="s">
        <v>71</v>
      </c>
      <c r="F1" s="197"/>
      <c r="I1" s="103" t="str">
        <f>"Version "&amp;TEXT(Version,"0.00")</f>
        <v>Version 2.12</v>
      </c>
    </row>
    <row r="2" spans="1:4" ht="4.5" customHeight="1">
      <c r="A2" s="14"/>
      <c r="B2" s="14"/>
      <c r="C2" s="14"/>
      <c r="D2" s="14"/>
    </row>
    <row r="3" spans="4:8" s="9" customFormat="1" ht="25.5" customHeight="1">
      <c r="D3" s="105" t="s">
        <v>54</v>
      </c>
      <c r="E3" s="99"/>
      <c r="F3" s="99"/>
      <c r="G3" s="100"/>
      <c r="H3" s="53"/>
    </row>
    <row r="4" spans="1:8" s="10" customFormat="1" ht="31.5" customHeight="1">
      <c r="A4" s="32" t="s">
        <v>73</v>
      </c>
      <c r="B4" s="31" t="s">
        <v>33</v>
      </c>
      <c r="C4" s="60" t="s">
        <v>27</v>
      </c>
      <c r="D4" s="63" t="s">
        <v>52</v>
      </c>
      <c r="E4" s="104">
        <f>+B9</f>
        <v>41236</v>
      </c>
      <c r="G4" s="75" t="str">
        <f>IF(E1="Sell-To-Open","STO","BTC")</f>
        <v>BTC</v>
      </c>
      <c r="H4" s="42"/>
    </row>
    <row r="5" spans="1:14" s="10" customFormat="1" ht="33" customHeight="1">
      <c r="A5" s="62" t="s">
        <v>101</v>
      </c>
      <c r="B5" s="30">
        <f>IF(BTCTicker=0,"",BTCLast)</f>
        <v>77.13</v>
      </c>
      <c r="C5" s="61">
        <f>IF(BTCTicker=0,"",BTCchange)</f>
        <v>0.29</v>
      </c>
      <c r="D5" s="63" t="s">
        <v>55</v>
      </c>
      <c r="E5" s="74">
        <f>+B10</f>
        <v>76</v>
      </c>
      <c r="F5" s="76"/>
      <c r="G5" s="77"/>
      <c r="H5" s="43"/>
      <c r="L5" s="16">
        <f>+Dates!C14</f>
        <v>7</v>
      </c>
      <c r="M5" s="16">
        <f>+Dates!C15</f>
        <v>36</v>
      </c>
      <c r="N5" s="16">
        <f>+Dates!C16</f>
        <v>64</v>
      </c>
    </row>
    <row r="6" spans="1:8" s="8" customFormat="1" ht="24.75" customHeight="1" thickBot="1">
      <c r="A6" s="186" t="str">
        <f>IF(BTCcompanyname="(Invalid Symbol)","",BTCcompanyname)</f>
        <v>iShares Russell 2000 Index </v>
      </c>
      <c r="B6" s="186"/>
      <c r="C6" s="186"/>
      <c r="D6" s="22" t="s">
        <v>49</v>
      </c>
      <c r="E6" s="84">
        <f>IF(COUNT(B9:B13)=5,IF((0.1*BTCLast)*(L7/365)-(tradecost/(100*B12))&lt;(0.2*(D12/(B12*100)))-(tradecost/(100*B12)),(0.2*(D12/(B12*100)))-(tradecost/(100*B12)),(0.1*BTCLast)*(L7/365)-(tradecost/(100*B12))),"")</f>
        <v>0.11992054794520549</v>
      </c>
      <c r="F6" s="44"/>
      <c r="G6" s="78"/>
      <c r="H6" s="44"/>
    </row>
    <row r="7" spans="1:14" s="8" customFormat="1" ht="24.75" customHeight="1" thickBot="1">
      <c r="A7" s="184" t="s">
        <v>51</v>
      </c>
      <c r="B7" s="185"/>
      <c r="C7" s="88"/>
      <c r="D7" s="105" t="s">
        <v>65</v>
      </c>
      <c r="E7" s="123" t="s">
        <v>66</v>
      </c>
      <c r="F7" s="108">
        <v>0.12</v>
      </c>
      <c r="G7" s="130" t="str">
        <f>IF(F7&gt;E6,"Above Max Prem!","")</f>
        <v>Above Max Prem!</v>
      </c>
      <c r="H7" s="45"/>
      <c r="L7" s="19">
        <f ca="1">+E4-TODAY()</f>
        <v>7</v>
      </c>
      <c r="M7" s="19">
        <f ca="1">+F6-TODAY()</f>
        <v>-41229</v>
      </c>
      <c r="N7" s="19">
        <f ca="1">+G6-TODAY()</f>
        <v>-41229</v>
      </c>
    </row>
    <row r="8" spans="3:8" s="8" customFormat="1" ht="24.75" customHeight="1">
      <c r="C8" s="89"/>
      <c r="D8" s="111" t="s">
        <v>61</v>
      </c>
      <c r="E8" s="109"/>
      <c r="F8" s="114" t="s">
        <v>59</v>
      </c>
      <c r="G8" s="110" t="s">
        <v>25</v>
      </c>
      <c r="H8" s="46"/>
    </row>
    <row r="9" spans="1:11" s="12" customFormat="1" ht="24.75" customHeight="1">
      <c r="A9" s="21" t="s">
        <v>34</v>
      </c>
      <c r="B9" s="37">
        <v>41236</v>
      </c>
      <c r="C9" s="90"/>
      <c r="D9" s="116">
        <f>IF(COUNT(B9:B13,F7)=6,B11*B12*100-tradecost,"")</f>
        <v>160.8</v>
      </c>
      <c r="E9" s="117">
        <f>IF(D9="","",B12*100*F7+tradecost)</f>
        <v>59.2</v>
      </c>
      <c r="F9" s="118">
        <f>IF(F7="","",+D9-E9)</f>
        <v>101.60000000000001</v>
      </c>
      <c r="G9" s="119" t="e">
        <f ca="1">IF(F7&gt;0,+F9/(B5*B12*100)*(365/(TODAY()-B13)),"")</f>
        <v>#DIV/0!</v>
      </c>
      <c r="H9" s="47"/>
      <c r="I9" s="133"/>
      <c r="J9" s="83"/>
      <c r="K9" s="82" t="s">
        <v>53</v>
      </c>
    </row>
    <row r="10" spans="1:11" s="12" customFormat="1" ht="24.75" customHeight="1">
      <c r="A10" s="20" t="s">
        <v>46</v>
      </c>
      <c r="B10" s="36">
        <v>76</v>
      </c>
      <c r="C10" s="90"/>
      <c r="D10" s="105" t="str">
        <f ca="1">IF(B9=0,"3b. If option expires worthless","3b. If option expires worthless in "&amp;TEXT(B9-TODAY(),"0")&amp;" day(s)")</f>
        <v>3b. If option expires worthless in 7 day(s)</v>
      </c>
      <c r="E10" s="106"/>
      <c r="F10" s="138" t="str">
        <f>IF(AND(B10&gt;0,B5&gt;B10),"N/A Price above Strike","")</f>
        <v>N/A Price above Strike</v>
      </c>
      <c r="G10" s="83"/>
      <c r="H10" s="48"/>
      <c r="I10" s="80" t="s">
        <v>37</v>
      </c>
      <c r="J10" s="92">
        <f>+'Getting Started'!C8</f>
        <v>8.95</v>
      </c>
      <c r="K10" s="93">
        <f>+'Getting Started'!E8</f>
        <v>1</v>
      </c>
    </row>
    <row r="11" spans="1:11" s="13" customFormat="1" ht="24.75" customHeight="1">
      <c r="A11" s="22" t="s">
        <v>47</v>
      </c>
      <c r="B11" s="66">
        <v>0.43</v>
      </c>
      <c r="C11" s="90"/>
      <c r="D11" s="111" t="s">
        <v>62</v>
      </c>
      <c r="E11" s="112"/>
      <c r="F11" s="114" t="s">
        <v>59</v>
      </c>
      <c r="G11" s="110" t="s">
        <v>25</v>
      </c>
      <c r="H11" s="49"/>
      <c r="I11" s="81" t="s">
        <v>38</v>
      </c>
      <c r="J11" s="94">
        <f>+'Getting Started'!C9</f>
        <v>0.75</v>
      </c>
      <c r="K11" s="79"/>
    </row>
    <row r="12" spans="1:8" ht="24.75" customHeight="1">
      <c r="A12" s="21" t="s">
        <v>48</v>
      </c>
      <c r="B12" s="55">
        <v>4</v>
      </c>
      <c r="C12" s="90"/>
      <c r="D12" s="116">
        <f>IF(COUNT(B9:B13)=5,B11*B12*100-tradecost,"")</f>
        <v>160.8</v>
      </c>
      <c r="E12" s="120" t="s">
        <v>60</v>
      </c>
      <c r="F12" s="118">
        <f>+D12</f>
        <v>160.8</v>
      </c>
      <c r="G12" s="119">
        <f>+D12/(B10*B12*100)*(365/(B9-B13))</f>
        <v>0.2758082706766918</v>
      </c>
      <c r="H12" s="50"/>
    </row>
    <row r="13" spans="1:8" ht="24.75" customHeight="1">
      <c r="A13" s="21" t="s">
        <v>50</v>
      </c>
      <c r="B13" s="73">
        <v>41229</v>
      </c>
      <c r="C13" s="91"/>
      <c r="G13" s="124"/>
      <c r="H13" s="50"/>
    </row>
    <row r="14" spans="1:8" ht="24.75" customHeight="1">
      <c r="A14" s="21"/>
      <c r="B14" s="121"/>
      <c r="C14" s="91"/>
      <c r="D14" s="113" t="s">
        <v>63</v>
      </c>
      <c r="E14" s="106"/>
      <c r="F14" s="107"/>
      <c r="G14" s="83"/>
      <c r="H14" s="50"/>
    </row>
    <row r="15" spans="1:8" ht="24.75" customHeight="1">
      <c r="A15" s="21"/>
      <c r="B15" s="122"/>
      <c r="C15" s="91"/>
      <c r="D15" s="198" t="s">
        <v>64</v>
      </c>
      <c r="E15" s="199"/>
      <c r="F15" s="200" t="s">
        <v>72</v>
      </c>
      <c r="G15" s="201"/>
      <c r="H15" s="50"/>
    </row>
    <row r="16" spans="1:8" ht="24.75" customHeight="1">
      <c r="A16" s="26"/>
      <c r="B16" s="125"/>
      <c r="C16" s="126"/>
      <c r="D16" s="116" t="str">
        <f>IF(COUNT(B9:B13)=5,TEXT(B10,"$0.00")&amp;"       "&amp;TEXT(D12/(B12*100),"$0.00"),"")</f>
        <v>$76.00       $0.40</v>
      </c>
      <c r="E16" s="120" t="str">
        <f>IF(COUNT(B9:B13)=5,"  "&amp;TEXT(assignment/(B12*100),"$0.00")&amp;"     ","")</f>
        <v>  $0.00     </v>
      </c>
      <c r="F16" s="118">
        <f>IF(COUNT(B9:B13)=5,B10+(D12/(B12*100))-assignment/(B12*100),"")</f>
        <v>76.400125</v>
      </c>
      <c r="G16" s="119"/>
      <c r="H16" s="51"/>
    </row>
    <row r="17" spans="1:8" ht="24.75" customHeight="1">
      <c r="A17" s="127"/>
      <c r="B17" s="127"/>
      <c r="C17" s="127"/>
      <c r="H17" s="51"/>
    </row>
    <row r="18" spans="1:8" ht="24.75" customHeight="1">
      <c r="A18" s="57"/>
      <c r="B18" s="128"/>
      <c r="C18" s="129"/>
      <c r="H18" s="52"/>
    </row>
    <row r="19" spans="4:5" ht="15">
      <c r="D19" s="85"/>
      <c r="E19" s="180">
        <f ca="1">(E9/(B12*100*B5)*(365/(B9-TODAY())))</f>
        <v>0.10005371265581302</v>
      </c>
    </row>
    <row r="20" spans="5:7" ht="18.75">
      <c r="E20" s="180"/>
      <c r="G20" s="54"/>
    </row>
    <row r="26" ht="15">
      <c r="C26" s="115"/>
    </row>
  </sheetData>
  <sheetProtection sheet="1" selectLockedCells="1"/>
  <mergeCells count="7">
    <mergeCell ref="E19:E20"/>
    <mergeCell ref="A1:D1"/>
    <mergeCell ref="E1:F1"/>
    <mergeCell ref="A6:C6"/>
    <mergeCell ref="A7:B7"/>
    <mergeCell ref="D15:E15"/>
    <mergeCell ref="F15:G15"/>
  </mergeCells>
  <conditionalFormatting sqref="D12:G12">
    <cfRule type="expression" priority="6" dxfId="9" stopIfTrue="1">
      <formula>IF(COUNT($B$9:$B$13)&lt;5,TRUE(),FALSE())</formula>
    </cfRule>
  </conditionalFormatting>
  <conditionalFormatting sqref="D16:G16">
    <cfRule type="expression" priority="2" dxfId="9" stopIfTrue="1">
      <formula>IF(COUNT($B$9:$B$13)&lt;5,TRUE(),FALSE())</formula>
    </cfRule>
  </conditionalFormatting>
  <conditionalFormatting sqref="D12:G12">
    <cfRule type="expression" priority="1" dxfId="9" stopIfTrue="1">
      <formula>IF($B$5&gt;$B$10,TRUE(),FALSE())</formula>
    </cfRule>
  </conditionalFormatting>
  <conditionalFormatting sqref="D9">
    <cfRule type="expression" priority="9" dxfId="9" stopIfTrue="1">
      <formula>IF($F$7=0,TRUE(),FALSE())</formula>
    </cfRule>
  </conditionalFormatting>
  <dataValidations count="4">
    <dataValidation allowBlank="1" showInputMessage="1" showErrorMessage="1" sqref="E1:F1"/>
    <dataValidation type="list" operator="greaterThan" allowBlank="1" showInputMessage="1" showErrorMessage="1" errorTitle="Past Expiration Date" error="Not a valid expiration date.  " sqref="B9">
      <formula1>longlist</formula1>
    </dataValidation>
    <dataValidation type="whole" operator="greaterThan" allowBlank="1" showInputMessage="1" showErrorMessage="1" sqref="B12">
      <formula1>0</formula1>
    </dataValidation>
    <dataValidation type="date" operator="lessThanOrEqual" allowBlank="1" showInputMessage="1" showErrorMessage="1" sqref="B13:B15">
      <formula1>TODAY()</formula1>
    </dataValidation>
  </dataValidations>
  <printOptions horizontalCentered="1"/>
  <pageMargins left="0.7" right="0.7" top="0.75" bottom="0.75" header="0.3" footer="0.3"/>
  <pageSetup fitToHeight="1" fitToWidth="1" horizontalDpi="600" verticalDpi="600" orientation="portrait" scale="54" r:id="rId2"/>
  <headerFooter>
    <oddHeader>&amp;Lv2.12&amp;R&amp;F</oddHeader>
  </headerFooter>
  <ignoredErrors>
    <ignoredError sqref="E12" numberStoredAsText="1"/>
    <ignoredError sqref="E19 G12" evalError="1"/>
  </ignoredErrors>
  <legacyDrawing r:id="rId1"/>
</worksheet>
</file>

<file path=xl/worksheets/sheet4.xml><?xml version="1.0" encoding="utf-8"?>
<worksheet xmlns="http://schemas.openxmlformats.org/spreadsheetml/2006/main" xmlns:r="http://schemas.openxmlformats.org/officeDocument/2006/relationships">
  <sheetPr codeName="Sheet2"/>
  <dimension ref="A4:BF36"/>
  <sheetViews>
    <sheetView zoomScalePageLayoutView="0" workbookViewId="0" topLeftCell="A1">
      <selection activeCell="K34" sqref="K34:K36"/>
    </sheetView>
  </sheetViews>
  <sheetFormatPr defaultColWidth="8.8515625" defaultRowHeight="15"/>
  <cols>
    <col min="1" max="1" width="13.421875" style="0" bestFit="1" customWidth="1"/>
    <col min="2" max="4" width="8.8515625" style="0" customWidth="1"/>
    <col min="5" max="5" width="10.421875" style="0" customWidth="1"/>
    <col min="6" max="10" width="8.8515625" style="0" customWidth="1"/>
    <col min="11" max="11" width="14.140625" style="0" customWidth="1"/>
    <col min="12" max="12" width="8.8515625" style="0" customWidth="1"/>
    <col min="13" max="13" width="13.421875" style="0" customWidth="1"/>
  </cols>
  <sheetData>
    <row r="4" spans="1:58" ht="15">
      <c r="A4" s="1">
        <f ca="1">MONTH(TODAY())</f>
        <v>11</v>
      </c>
      <c r="C4">
        <f>WEEKDAY(DATE(A6,A4,1))</f>
        <v>5</v>
      </c>
      <c r="D4" s="1">
        <f>1+VLOOKUP(dayofweek1stofmonth,E4:F10,2,FALSE)+15</f>
        <v>17</v>
      </c>
      <c r="E4">
        <v>1</v>
      </c>
      <c r="F4">
        <v>5</v>
      </c>
      <c r="H4" s="1">
        <f>IF(A4=12,1,A4+1)</f>
        <v>12</v>
      </c>
      <c r="I4">
        <f>WEEKDAY(DATE(H6,H4,1))</f>
        <v>7</v>
      </c>
      <c r="J4" s="1">
        <f>1+VLOOKUP(I4,E4:F10,2,FALSE)+15</f>
        <v>22</v>
      </c>
      <c r="L4" s="1">
        <f>IF(H4=12,1,+H4+1)</f>
        <v>1</v>
      </c>
      <c r="M4">
        <f>WEEKDAY(DATE(L6,L4,1))</f>
        <v>3</v>
      </c>
      <c r="N4" s="1">
        <f>1+VLOOKUP(M4,E4:F10,2,FALSE)+15</f>
        <v>19</v>
      </c>
      <c r="P4" s="1">
        <f>IF(L4=12,1,+L4+1)</f>
        <v>2</v>
      </c>
      <c r="Q4">
        <f>WEEKDAY(DATE(P6,P4,1))</f>
        <v>6</v>
      </c>
      <c r="R4" s="1">
        <f>1+VLOOKUP(Q4,daysofweekblock,2,FALSE)+15</f>
        <v>16</v>
      </c>
      <c r="T4" s="1">
        <f>IF(P4=12,1,+P4+1)</f>
        <v>3</v>
      </c>
      <c r="U4">
        <f>WEEKDAY(DATE(T6,T4,1))</f>
        <v>6</v>
      </c>
      <c r="V4" s="1">
        <f>1+VLOOKUP(U4,daysofweekblock,2,FALSE)+15</f>
        <v>16</v>
      </c>
      <c r="X4" s="1">
        <f>IF(T4=12,1,+T4+1)</f>
        <v>4</v>
      </c>
      <c r="Y4">
        <f>WEEKDAY(DATE(X6,X4,1))</f>
        <v>2</v>
      </c>
      <c r="Z4" s="1">
        <f>1+VLOOKUP(Y4,daysofweekblock,2,FALSE)+15</f>
        <v>20</v>
      </c>
      <c r="AB4" s="1">
        <f>IF(X4=12,1,+X4+1)</f>
        <v>5</v>
      </c>
      <c r="AC4">
        <f>WEEKDAY(DATE(AB6,AB4,1))</f>
        <v>4</v>
      </c>
      <c r="AD4" s="1">
        <f>1+VLOOKUP(AC4,daysofweekblock,2,FALSE)+15</f>
        <v>18</v>
      </c>
      <c r="AF4" s="1">
        <f>IF(AB4=12,1,+AB4+1)</f>
        <v>6</v>
      </c>
      <c r="AG4">
        <f>WEEKDAY(DATE(AF6,AF4,1))</f>
        <v>7</v>
      </c>
      <c r="AH4" s="1">
        <f>1+VLOOKUP(AG4,daysofweekblock,2,FALSE)+15</f>
        <v>22</v>
      </c>
      <c r="AJ4" s="1">
        <f>IF(AF4=12,1,+AF4+1)</f>
        <v>7</v>
      </c>
      <c r="AK4">
        <f>WEEKDAY(DATE(AJ6,AJ4,1))</f>
        <v>2</v>
      </c>
      <c r="AL4" s="1">
        <f>1+VLOOKUP(AK4,daysofweekblock,2,FALSE)+15</f>
        <v>20</v>
      </c>
      <c r="AN4" s="1">
        <f>IF(AJ4=12,1,+AJ4+1)</f>
        <v>8</v>
      </c>
      <c r="AO4">
        <f>WEEKDAY(DATE(AN6,AN4,1))</f>
        <v>5</v>
      </c>
      <c r="AP4" s="1">
        <f>1+VLOOKUP(AO4,daysofweekblock,2,FALSE)+15</f>
        <v>17</v>
      </c>
      <c r="AR4" s="1">
        <f>IF(AN4=12,1,+AN4+1)</f>
        <v>9</v>
      </c>
      <c r="AS4">
        <f>WEEKDAY(DATE(AR6,AR4,1))</f>
        <v>1</v>
      </c>
      <c r="AT4" s="1">
        <f>1+VLOOKUP(AS4,daysofweekblock,2,FALSE)+15</f>
        <v>21</v>
      </c>
      <c r="AV4" s="1">
        <f>IF(AR4=12,1,+AR4+1)</f>
        <v>10</v>
      </c>
      <c r="AW4">
        <f>WEEKDAY(DATE(AV6,AV4,1))</f>
        <v>3</v>
      </c>
      <c r="AX4" s="1">
        <f>1+VLOOKUP(AW4,daysofweekblock,2,FALSE)+15</f>
        <v>19</v>
      </c>
      <c r="AZ4" s="1">
        <f>IF(AV4=12,1,+AV4+1)</f>
        <v>11</v>
      </c>
      <c r="BA4">
        <f>WEEKDAY(DATE(AZ6,AZ4,1))</f>
        <v>6</v>
      </c>
      <c r="BB4" s="1">
        <f>1+VLOOKUP(BA4,daysofweekblock,2,FALSE)+15</f>
        <v>16</v>
      </c>
      <c r="BD4" s="1">
        <f>IF(AZ4=12,1,+AZ4+1)</f>
        <v>12</v>
      </c>
      <c r="BE4">
        <f>WEEKDAY(DATE(BD6,BD4,1))</f>
        <v>1</v>
      </c>
      <c r="BF4" s="1">
        <f>1+VLOOKUP(BE4,daysofweekblock,2,FALSE)+15</f>
        <v>21</v>
      </c>
    </row>
    <row r="5" spans="1:6" ht="15">
      <c r="A5">
        <f ca="1">DAY(TODAY())</f>
        <v>16</v>
      </c>
      <c r="B5">
        <f>WEEKDAY(DATE(A6,A4,A5))</f>
        <v>6</v>
      </c>
      <c r="E5">
        <v>2</v>
      </c>
      <c r="F5">
        <v>4</v>
      </c>
    </row>
    <row r="6" spans="1:56" ht="15">
      <c r="A6">
        <f ca="1">YEAR(TODAY())</f>
        <v>2012</v>
      </c>
      <c r="B6">
        <f>IF(B5&lt;5,+A5+6-B5,A5+13-B5)</f>
        <v>23</v>
      </c>
      <c r="E6">
        <v>3</v>
      </c>
      <c r="F6">
        <v>3</v>
      </c>
      <c r="H6">
        <f>IF(A4=12,+A6+1,A6)</f>
        <v>2012</v>
      </c>
      <c r="L6">
        <f>IF(H4=12,H6+1,H6)</f>
        <v>2013</v>
      </c>
      <c r="P6">
        <f>IF(L4=12,L6+1,L6)</f>
        <v>2013</v>
      </c>
      <c r="T6">
        <f>IF(P4=12,P6+1,P6)</f>
        <v>2013</v>
      </c>
      <c r="X6">
        <f>IF(T4=12,T6+1,T6)</f>
        <v>2013</v>
      </c>
      <c r="AB6">
        <f>IF(X4=12,X6+1,X6)</f>
        <v>2013</v>
      </c>
      <c r="AF6">
        <f>IF(AB4=12,AB6+1,AB6)</f>
        <v>2013</v>
      </c>
      <c r="AJ6">
        <f>IF(AF4=12,AF6+1,AF6)</f>
        <v>2013</v>
      </c>
      <c r="AN6">
        <f>IF(AJ4=12,AJ6+1,AJ6)</f>
        <v>2013</v>
      </c>
      <c r="AR6">
        <f>IF(AN4=12,AN6+1,AN6)</f>
        <v>2013</v>
      </c>
      <c r="AV6">
        <f>IF(AR4=12,AR6+1,AR6)</f>
        <v>2013</v>
      </c>
      <c r="AZ6">
        <f>IF(AV4=12,AV6+1,AV6)</f>
        <v>2013</v>
      </c>
      <c r="BD6">
        <f>IF(AZ4=12,AZ6+1,AZ6)</f>
        <v>2013</v>
      </c>
    </row>
    <row r="7" spans="5:6" ht="15">
      <c r="E7">
        <v>4</v>
      </c>
      <c r="F7">
        <v>2</v>
      </c>
    </row>
    <row r="8" spans="1:6" ht="15">
      <c r="A8">
        <f ca="1">WEEKDAY(TODAY())</f>
        <v>6</v>
      </c>
      <c r="E8">
        <v>5</v>
      </c>
      <c r="F8">
        <v>1</v>
      </c>
    </row>
    <row r="9" spans="5:6" ht="15">
      <c r="E9">
        <v>6</v>
      </c>
      <c r="F9">
        <v>0</v>
      </c>
    </row>
    <row r="10" spans="5:6" ht="15">
      <c r="E10">
        <v>7</v>
      </c>
      <c r="F10">
        <v>6</v>
      </c>
    </row>
    <row r="11" spans="4:58" ht="15">
      <c r="D11" t="str">
        <f>RIGHT(TEXT(A6,"0"),2)&amp;TEXT(A4,"00")&amp;TEXT(FrontMonthExp,"00")</f>
        <v>121117</v>
      </c>
      <c r="J11" t="str">
        <f>RIGHT(TEXT(H6,"0"),2)&amp;TEXT(H4,"00")&amp;TEXT(J4,"00")</f>
        <v>121222</v>
      </c>
      <c r="N11" t="str">
        <f>RIGHT(TEXT(L6,"0"),2)&amp;TEXT(L4,"00")&amp;TEXT(N4,"00")</f>
        <v>130119</v>
      </c>
      <c r="R11" t="str">
        <f>RIGHT(TEXT(P6,"0"),2)&amp;TEXT(P4,"00")&amp;TEXT(R4,"00")</f>
        <v>130216</v>
      </c>
      <c r="V11" t="str">
        <f>RIGHT(TEXT(T6,"0"),2)&amp;TEXT(T4,"00")&amp;TEXT(V4,"00")</f>
        <v>130316</v>
      </c>
      <c r="Z11" t="str">
        <f>RIGHT(TEXT(X6,"0"),2)&amp;TEXT(X4,"00")&amp;TEXT(Z4,"00")</f>
        <v>130420</v>
      </c>
      <c r="AD11" t="str">
        <f>RIGHT(TEXT(AB6,"0"),2)&amp;TEXT(AB4,"00")&amp;TEXT(AD4,"00")</f>
        <v>130518</v>
      </c>
      <c r="AH11" t="str">
        <f>RIGHT(TEXT(AF6,"0"),2)&amp;TEXT(AF4,"00")&amp;TEXT(AH4,"00")</f>
        <v>130622</v>
      </c>
      <c r="AL11" t="str">
        <f>RIGHT(TEXT(AJ6,"0"),2)&amp;TEXT(AJ4,"00")&amp;TEXT(AL4,"00")</f>
        <v>130720</v>
      </c>
      <c r="AP11" t="str">
        <f>RIGHT(TEXT(AN6,"0"),2)&amp;TEXT(AN4,"00")&amp;TEXT(AP4,"00")</f>
        <v>130817</v>
      </c>
      <c r="AT11" t="str">
        <f>RIGHT(TEXT(AR6,"0"),2)&amp;TEXT(AR4,"00")&amp;TEXT(AT4,"00")</f>
        <v>130921</v>
      </c>
      <c r="AX11" t="str">
        <f>RIGHT(TEXT(AV6,"0"),2)&amp;TEXT(AV4,"00")&amp;TEXT(AX4,"00")</f>
        <v>131019</v>
      </c>
      <c r="BB11" t="str">
        <f>RIGHT(TEXT(AZ6,"0"),2)&amp;TEXT(AZ4,"00")&amp;TEXT(BB4,"00")</f>
        <v>131116</v>
      </c>
      <c r="BF11" t="str">
        <f>RIGHT(TEXT(BD6,"0"),2)&amp;TEXT(BD4,"00")&amp;TEXT(BF4,"00")</f>
        <v>131221</v>
      </c>
    </row>
    <row r="14" spans="1:5" ht="15">
      <c r="A14" t="s">
        <v>2</v>
      </c>
      <c r="B14" t="str">
        <f>IF(OR(FrontMonthExp-B6&gt;1,FrontMonthExp-B6&lt;1),TEXT(RIGHT(A6,2),"0")&amp;TEXT(A4,"00")&amp;TEXT(B6,"00"),IF(FrontMonthExp-B6=1,D11))</f>
        <v>121123</v>
      </c>
      <c r="C14">
        <f ca="1">DATE(2000+LEFT(B14,2),RIGHT(LEFT(B14,4),2),RIGHT(B14,2))-TODAY()</f>
        <v>7</v>
      </c>
      <c r="E14" s="7">
        <f>DATE(2000+LEFT(B14,2),LEFT(RIGHT(B14,4),2),RIGHT(B14,2))</f>
        <v>41236</v>
      </c>
    </row>
    <row r="15" spans="1:5" ht="15">
      <c r="A15" t="s">
        <v>0</v>
      </c>
      <c r="B15" t="str">
        <f>IF(D11&gt;B14,D11,J11)</f>
        <v>121222</v>
      </c>
      <c r="C15">
        <f ca="1">DATE(2000+LEFT(B15,2),RIGHT(LEFT(B15,4),2),RIGHT(B15,2))-TODAY()</f>
        <v>36</v>
      </c>
      <c r="E15" s="7">
        <f>DATE(2000+LEFT(B15,2),LEFT(RIGHT(B15,4),2),RIGHT(B15,2))</f>
        <v>41265</v>
      </c>
    </row>
    <row r="16" spans="1:5" ht="15">
      <c r="A16" t="s">
        <v>1</v>
      </c>
      <c r="B16" t="str">
        <f>IF(D11&gt;B14,J11,N11)</f>
        <v>130119</v>
      </c>
      <c r="C16">
        <f ca="1">DATE(2000+LEFT(B16,2),RIGHT(LEFT(B16,4),2),RIGHT(B16,2))-TODAY()</f>
        <v>64</v>
      </c>
      <c r="E16" s="7">
        <f>DATE(2000+LEFT(B16,2),LEFT(RIGHT(B16,4),2),RIGHT(B16,2))</f>
        <v>41293</v>
      </c>
    </row>
    <row r="18" ht="15">
      <c r="K18" s="169">
        <f>+A23</f>
        <v>41274</v>
      </c>
    </row>
    <row r="19" spans="10:13" ht="15">
      <c r="J19" t="str">
        <f>IF(B14=B15,"",B14)</f>
        <v>121123</v>
      </c>
      <c r="K19" s="132">
        <f>IF(J19="","",DATE(2000+LEFT(J19,2),RIGHT(LEFT(J19,4),2),RIGHT(J19,2)))</f>
        <v>41236</v>
      </c>
      <c r="L19" s="131"/>
      <c r="M19" s="132"/>
    </row>
    <row r="20" spans="10:13" ht="15">
      <c r="J20" t="str">
        <f>+B15</f>
        <v>121222</v>
      </c>
      <c r="K20" s="132">
        <f>DATE(2000+LEFT(J20,2),RIGHT(LEFT(J20,4),2),RIGHT(J20,2))</f>
        <v>41265</v>
      </c>
      <c r="L20" s="131"/>
      <c r="M20" s="132"/>
    </row>
    <row r="21" spans="10:13" ht="15">
      <c r="J21" t="str">
        <f>+J11</f>
        <v>121222</v>
      </c>
      <c r="K21" s="132">
        <f>DATE(2000+LEFT(J21,2),RIGHT(LEFT(J21,4),2),RIGHT(J21,2))</f>
        <v>41265</v>
      </c>
      <c r="L21" s="131"/>
      <c r="M21" s="132"/>
    </row>
    <row r="22" spans="1:13" ht="15">
      <c r="A22">
        <f>IF(MOD(A4,3)=0,A4,(ROUNDDOWN(A4/3,0)+1)*3)</f>
        <v>12</v>
      </c>
      <c r="J22" t="str">
        <f>+N11</f>
        <v>130119</v>
      </c>
      <c r="K22" s="132">
        <f aca="true" t="shared" si="0" ref="K22:K33">DATE(2000+LEFT(J22,2),RIGHT(LEFT(J22,4),2),RIGHT(J22,2))</f>
        <v>41293</v>
      </c>
      <c r="L22" s="131"/>
      <c r="M22" s="132"/>
    </row>
    <row r="23" spans="1:13" ht="15">
      <c r="A23" s="132">
        <f>IF(WEEKDAY(EOMONTH(DATE(A$6,A$22,1),0))=7,EOMONTH(DATE(A$6,A$22,1),0)-1,IF(WEEKDAY(EOMONTH(DATE(A$6,A$22,1),0))=1,EOMONTH(DATE(A$6,A$22,1),0)-2,EOMONTH(DATE(A$6,A$22,1),0)))</f>
        <v>41274</v>
      </c>
      <c r="J23" t="str">
        <f>+R11</f>
        <v>130216</v>
      </c>
      <c r="K23" s="132">
        <f t="shared" si="0"/>
        <v>41321</v>
      </c>
      <c r="L23" s="131"/>
      <c r="M23" s="132"/>
    </row>
    <row r="24" spans="10:13" ht="15">
      <c r="J24" t="str">
        <f>+V11</f>
        <v>130316</v>
      </c>
      <c r="K24" s="132">
        <f t="shared" si="0"/>
        <v>41349</v>
      </c>
      <c r="L24" s="131"/>
      <c r="M24" s="132"/>
    </row>
    <row r="25" spans="1:13" ht="15">
      <c r="A25" s="132">
        <f>IF(WEEKDAY(EOMONTH(A23,3))=7,EOMONTH(A23,3)-1,IF(WEEKDAY(EOMONTH(A23,3))=1,EOMONTH(A23,3)-2,EOMONTH(A23,3)))</f>
        <v>41362</v>
      </c>
      <c r="J25" t="str">
        <f>+Z11</f>
        <v>130420</v>
      </c>
      <c r="K25" s="132">
        <f t="shared" si="0"/>
        <v>41384</v>
      </c>
      <c r="L25" s="131"/>
      <c r="M25" s="132"/>
    </row>
    <row r="26" spans="1:13" ht="15">
      <c r="A26" s="132"/>
      <c r="J26" t="str">
        <f>+AD11</f>
        <v>130518</v>
      </c>
      <c r="K26" s="132">
        <f t="shared" si="0"/>
        <v>41412</v>
      </c>
      <c r="L26" s="131"/>
      <c r="M26" s="132"/>
    </row>
    <row r="27" spans="1:13" ht="15">
      <c r="A27" s="132">
        <f>IF(WEEKDAY(EOMONTH(A25,3))=7,EOMONTH(A25,3)-1,IF(WEEKDAY(EOMONTH(A25,3))=1,EOMONTH(A25,3)-2,EOMONTH(A25,3)))</f>
        <v>41453</v>
      </c>
      <c r="J27" t="str">
        <f>+AH11</f>
        <v>130622</v>
      </c>
      <c r="K27" s="132">
        <f t="shared" si="0"/>
        <v>41447</v>
      </c>
      <c r="L27" s="131"/>
      <c r="M27" s="132"/>
    </row>
    <row r="28" spans="1:13" ht="15">
      <c r="A28" s="132"/>
      <c r="J28" t="str">
        <f>+AL11</f>
        <v>130720</v>
      </c>
      <c r="K28" s="132">
        <f t="shared" si="0"/>
        <v>41475</v>
      </c>
      <c r="L28" s="131"/>
      <c r="M28" s="132"/>
    </row>
    <row r="29" spans="1:13" ht="15">
      <c r="A29" s="132">
        <f>IF(WEEKDAY(EOMONTH(A27,3))=7,EOMONTH(A27,3)-1,IF(WEEKDAY(EOMONTH(A27,3))=1,EOMONTH(A27,3)-2,EOMONTH(A27,3)))</f>
        <v>41547</v>
      </c>
      <c r="J29" t="str">
        <f>+AP11</f>
        <v>130817</v>
      </c>
      <c r="K29" s="132">
        <f t="shared" si="0"/>
        <v>41503</v>
      </c>
      <c r="L29" s="131"/>
      <c r="M29" s="132"/>
    </row>
    <row r="30" spans="10:13" ht="15">
      <c r="J30" t="str">
        <f>+AT11</f>
        <v>130921</v>
      </c>
      <c r="K30" s="132">
        <f t="shared" si="0"/>
        <v>41538</v>
      </c>
      <c r="L30" s="131"/>
      <c r="M30" s="132"/>
    </row>
    <row r="31" spans="10:13" ht="15">
      <c r="J31" t="str">
        <f>+AX11</f>
        <v>131019</v>
      </c>
      <c r="K31" s="132">
        <f t="shared" si="0"/>
        <v>41566</v>
      </c>
      <c r="L31" s="131"/>
      <c r="M31" s="132"/>
    </row>
    <row r="32" spans="10:13" ht="15">
      <c r="J32" t="str">
        <f>+BB11</f>
        <v>131116</v>
      </c>
      <c r="K32" s="132">
        <f t="shared" si="0"/>
        <v>41594</v>
      </c>
      <c r="L32" s="131"/>
      <c r="M32" s="132"/>
    </row>
    <row r="33" spans="10:13" ht="15">
      <c r="J33" t="str">
        <f>+BF11</f>
        <v>131221</v>
      </c>
      <c r="K33" s="132">
        <f t="shared" si="0"/>
        <v>41629</v>
      </c>
      <c r="L33" s="131"/>
      <c r="M33" s="132"/>
    </row>
    <row r="34" ht="15">
      <c r="K34" s="169">
        <f>+A25</f>
        <v>41362</v>
      </c>
    </row>
    <row r="35" ht="15">
      <c r="K35" s="169">
        <f>+A27</f>
        <v>41453</v>
      </c>
    </row>
    <row r="36" ht="15">
      <c r="K36" s="169">
        <f>+A29</f>
        <v>41547</v>
      </c>
    </row>
  </sheetData>
  <sheetProtection/>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4"/>
  <dimension ref="A1:J8"/>
  <sheetViews>
    <sheetView zoomScalePageLayoutView="0" workbookViewId="0" topLeftCell="A1">
      <selection activeCell="B7" sqref="B7"/>
    </sheetView>
  </sheetViews>
  <sheetFormatPr defaultColWidth="8.8515625" defaultRowHeight="15"/>
  <cols>
    <col min="1" max="1" width="19.421875" style="0" bestFit="1" customWidth="1"/>
  </cols>
  <sheetData>
    <row r="1" ht="15">
      <c r="B1" t="s">
        <v>26</v>
      </c>
    </row>
    <row r="6" spans="1:2" ht="15">
      <c r="A6" t="s">
        <v>57</v>
      </c>
      <c r="B6" s="86">
        <f>IF('Sell-To-Open'!$E$13&lt;='Getting Started'!E8,'Getting Started'!C8,'Getting Started'!C8+('Sell-To-Open'!$E$13-'Getting Started'!E8)*'Getting Started'!C9)</f>
        <v>11.2</v>
      </c>
    </row>
    <row r="7" spans="1:2" ht="15">
      <c r="A7" t="s">
        <v>58</v>
      </c>
      <c r="B7" s="87">
        <f>IF('Closing the Option'!B12&lt;='Getting Started'!E8,'Getting Started'!C8,'Getting Started'!C8+('Closing the Option'!B12-'Getting Started'!E8)*'Getting Started'!C9)</f>
        <v>11.2</v>
      </c>
    </row>
    <row r="8" spans="2:10" ht="15">
      <c r="B8" s="3"/>
      <c r="C8" s="2"/>
      <c r="D8" s="5"/>
      <c r="E8" s="2"/>
      <c r="F8" s="2"/>
      <c r="G8" s="2"/>
      <c r="H8" s="6"/>
      <c r="I8" s="4"/>
      <c r="J8" s="2"/>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10"/>
  <dimension ref="A1:Q18"/>
  <sheetViews>
    <sheetView zoomScalePageLayoutView="0" workbookViewId="0" topLeftCell="A1">
      <selection activeCell="B1" sqref="B1"/>
    </sheetView>
  </sheetViews>
  <sheetFormatPr defaultColWidth="10.8515625" defaultRowHeight="15"/>
  <cols>
    <col min="1" max="1" width="10.8515625" style="170" customWidth="1"/>
    <col min="2" max="2" width="31.421875" style="0" customWidth="1"/>
    <col min="3" max="4" width="6.421875" style="0" customWidth="1"/>
    <col min="5" max="8" width="10.00390625" style="0" customWidth="1"/>
    <col min="9" max="9" width="14.28125" style="0" customWidth="1"/>
    <col min="10" max="11" width="8.57421875" style="0" customWidth="1"/>
    <col min="12" max="13" width="10.00390625" style="0" customWidth="1"/>
    <col min="14" max="14" width="15.7109375" style="0" customWidth="1"/>
    <col min="15" max="15" width="6.28125" style="0" customWidth="1"/>
    <col min="16" max="16" width="8.57421875" style="0" customWidth="1"/>
    <col min="17" max="17" width="14.28125" style="0" customWidth="1"/>
    <col min="18" max="23" width="11.421875" style="0" customWidth="1"/>
    <col min="24" max="16384" width="10.8515625" style="170" customWidth="1"/>
  </cols>
  <sheetData>
    <row r="1" ht="25.5" customHeight="1">
      <c r="B1" t="s">
        <v>3</v>
      </c>
    </row>
    <row r="2" ht="15" customHeight="1">
      <c r="B2" t="s">
        <v>4</v>
      </c>
    </row>
    <row r="3" spans="5:17" ht="15.75">
      <c r="E3" t="s">
        <v>5</v>
      </c>
      <c r="F3" t="s">
        <v>6</v>
      </c>
      <c r="G3" t="s">
        <v>7</v>
      </c>
      <c r="H3" t="s">
        <v>8</v>
      </c>
      <c r="I3" t="s">
        <v>9</v>
      </c>
      <c r="J3" t="s">
        <v>10</v>
      </c>
      <c r="K3" t="s">
        <v>11</v>
      </c>
      <c r="L3" t="s">
        <v>12</v>
      </c>
      <c r="M3" t="s">
        <v>13</v>
      </c>
      <c r="N3" t="s">
        <v>14</v>
      </c>
      <c r="O3" t="s">
        <v>15</v>
      </c>
      <c r="P3" t="s">
        <v>16</v>
      </c>
      <c r="Q3" t="s">
        <v>17</v>
      </c>
    </row>
    <row r="4" spans="1:13" ht="15.75">
      <c r="A4" s="170" t="str">
        <f>IF(Ticker=0,"SPY",Ticker)</f>
        <v>IWM</v>
      </c>
      <c r="B4" t="s">
        <v>99</v>
      </c>
      <c r="C4" t="s">
        <v>96</v>
      </c>
      <c r="D4" t="s">
        <v>97</v>
      </c>
      <c r="E4">
        <v>77</v>
      </c>
      <c r="F4">
        <v>76.84</v>
      </c>
      <c r="G4">
        <v>77.22</v>
      </c>
      <c r="H4">
        <v>76.13</v>
      </c>
      <c r="I4">
        <v>30361876</v>
      </c>
      <c r="J4">
        <v>0.16</v>
      </c>
      <c r="K4" s="171">
        <v>0.0021</v>
      </c>
      <c r="L4">
        <v>86.96</v>
      </c>
      <c r="M4">
        <v>66.62</v>
      </c>
    </row>
    <row r="6" spans="2:8" ht="15" customHeight="1">
      <c r="B6" t="s">
        <v>18</v>
      </c>
      <c r="D6" t="s">
        <v>19</v>
      </c>
      <c r="H6" t="s">
        <v>20</v>
      </c>
    </row>
    <row r="7" spans="2:8" ht="25.5" customHeight="1">
      <c r="B7" t="s">
        <v>21</v>
      </c>
      <c r="D7" t="s">
        <v>22</v>
      </c>
      <c r="H7" t="s">
        <v>23</v>
      </c>
    </row>
    <row r="9" ht="15" customHeight="1">
      <c r="B9" t="s">
        <v>24</v>
      </c>
    </row>
    <row r="10" ht="15" customHeight="1">
      <c r="B10" t="s">
        <v>81</v>
      </c>
    </row>
    <row r="12" ht="15" customHeight="1">
      <c r="B12" t="s">
        <v>82</v>
      </c>
    </row>
    <row r="14" ht="15" customHeight="1">
      <c r="B14" t="s">
        <v>83</v>
      </c>
    </row>
    <row r="16" ht="45" customHeight="1">
      <c r="B16" t="s">
        <v>84</v>
      </c>
    </row>
    <row r="18" ht="15" customHeight="1">
      <c r="B18" t="s">
        <v>85</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11"/>
  <dimension ref="A1:Q18"/>
  <sheetViews>
    <sheetView zoomScalePageLayoutView="0" workbookViewId="0" topLeftCell="A1">
      <selection activeCell="A5" sqref="A5"/>
    </sheetView>
  </sheetViews>
  <sheetFormatPr defaultColWidth="10.8515625" defaultRowHeight="15"/>
  <cols>
    <col min="1" max="1" width="10.8515625" style="170" customWidth="1"/>
    <col min="2" max="2" width="31.421875" style="0" customWidth="1"/>
    <col min="3" max="4" width="6.421875" style="0" customWidth="1"/>
    <col min="5" max="8" width="10.00390625" style="0" customWidth="1"/>
    <col min="9" max="9" width="14.28125" style="0" customWidth="1"/>
    <col min="10" max="11" width="8.57421875" style="0" customWidth="1"/>
    <col min="12" max="13" width="10.00390625" style="0" customWidth="1"/>
    <col min="14" max="14" width="15.7109375" style="0" customWidth="1"/>
    <col min="15" max="15" width="6.28125" style="0" customWidth="1"/>
    <col min="16" max="16" width="8.57421875" style="0" customWidth="1"/>
    <col min="17" max="17" width="14.28125" style="0" customWidth="1"/>
    <col min="18" max="23" width="11.421875" style="0" customWidth="1"/>
    <col min="24" max="16384" width="10.8515625" style="170" customWidth="1"/>
  </cols>
  <sheetData>
    <row r="1" ht="25.5" customHeight="1">
      <c r="B1" t="s">
        <v>3</v>
      </c>
    </row>
    <row r="2" ht="15" customHeight="1">
      <c r="B2" t="s">
        <v>4</v>
      </c>
    </row>
    <row r="3" spans="5:17" ht="15.75">
      <c r="E3" t="s">
        <v>5</v>
      </c>
      <c r="F3" t="s">
        <v>6</v>
      </c>
      <c r="G3" t="s">
        <v>7</v>
      </c>
      <c r="H3" t="s">
        <v>8</v>
      </c>
      <c r="I3" t="s">
        <v>9</v>
      </c>
      <c r="J3" t="s">
        <v>10</v>
      </c>
      <c r="K3" t="s">
        <v>11</v>
      </c>
      <c r="L3" t="s">
        <v>12</v>
      </c>
      <c r="M3" t="s">
        <v>13</v>
      </c>
      <c r="N3" t="s">
        <v>14</v>
      </c>
      <c r="O3" t="s">
        <v>15</v>
      </c>
      <c r="P3" t="s">
        <v>16</v>
      </c>
      <c r="Q3" t="s">
        <v>17</v>
      </c>
    </row>
    <row r="4" spans="1:13" ht="15.75">
      <c r="A4" s="170" t="str">
        <f>IF(BTCTicker=0,"SPY",BTCTicker)</f>
        <v>iwm</v>
      </c>
      <c r="B4" t="s">
        <v>99</v>
      </c>
      <c r="C4" t="s">
        <v>96</v>
      </c>
      <c r="D4" t="s">
        <v>97</v>
      </c>
      <c r="E4">
        <v>77.13</v>
      </c>
      <c r="F4">
        <v>76.84</v>
      </c>
      <c r="G4">
        <v>77.29</v>
      </c>
      <c r="H4">
        <v>76.13</v>
      </c>
      <c r="I4">
        <v>33692756</v>
      </c>
      <c r="J4">
        <v>0.29</v>
      </c>
      <c r="K4" s="171">
        <v>0.0038</v>
      </c>
      <c r="L4">
        <v>86.96</v>
      </c>
      <c r="M4">
        <v>66.62</v>
      </c>
    </row>
    <row r="6" spans="2:8" ht="15" customHeight="1">
      <c r="B6" t="s">
        <v>18</v>
      </c>
      <c r="D6" t="s">
        <v>19</v>
      </c>
      <c r="H6" t="s">
        <v>20</v>
      </c>
    </row>
    <row r="7" spans="2:8" ht="24" customHeight="1">
      <c r="B7" t="s">
        <v>21</v>
      </c>
      <c r="D7" t="s">
        <v>22</v>
      </c>
      <c r="H7" t="s">
        <v>23</v>
      </c>
    </row>
    <row r="9" ht="15" customHeight="1">
      <c r="B9" t="s">
        <v>24</v>
      </c>
    </row>
    <row r="10" ht="15" customHeight="1">
      <c r="B10" t="s">
        <v>81</v>
      </c>
    </row>
    <row r="12" ht="15" customHeight="1">
      <c r="B12" t="s">
        <v>82</v>
      </c>
    </row>
    <row r="14" ht="15" customHeight="1">
      <c r="B14" t="s">
        <v>83</v>
      </c>
    </row>
    <row r="16" ht="45" customHeight="1">
      <c r="B16" t="s">
        <v>84</v>
      </c>
    </row>
    <row r="18" ht="15" customHeight="1">
      <c r="B18" t="s">
        <v>85</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1:D5"/>
  <sheetViews>
    <sheetView zoomScalePageLayoutView="0" workbookViewId="0" topLeftCell="A1">
      <selection activeCell="D5" sqref="D5"/>
    </sheetView>
  </sheetViews>
  <sheetFormatPr defaultColWidth="11.421875" defaultRowHeight="15"/>
  <cols>
    <col min="1" max="1" width="11.421875" style="72" customWidth="1"/>
    <col min="2" max="2" width="11.421875" style="102" customWidth="1"/>
    <col min="3" max="3" width="11.421875" style="2" customWidth="1"/>
    <col min="4" max="4" width="117.8515625" style="68" customWidth="1"/>
    <col min="5" max="16384" width="11.421875" style="2" customWidth="1"/>
  </cols>
  <sheetData>
    <row r="1" ht="15">
      <c r="B1" s="102">
        <f>MAX(B3:B540)</f>
        <v>2.12</v>
      </c>
    </row>
    <row r="2" spans="1:4" s="69" customFormat="1" ht="18.75">
      <c r="A2" s="71" t="s">
        <v>41</v>
      </c>
      <c r="B2" s="101" t="s">
        <v>42</v>
      </c>
      <c r="C2" s="69" t="s">
        <v>43</v>
      </c>
      <c r="D2" s="70" t="s">
        <v>44</v>
      </c>
    </row>
    <row r="3" spans="1:4" ht="15">
      <c r="A3" s="72">
        <v>41164</v>
      </c>
      <c r="B3" s="102">
        <v>2.1</v>
      </c>
      <c r="C3" s="2" t="s">
        <v>45</v>
      </c>
      <c r="D3" s="68" t="s">
        <v>93</v>
      </c>
    </row>
    <row r="4" spans="1:4" ht="15">
      <c r="A4" s="72">
        <v>41180</v>
      </c>
      <c r="B4" s="102">
        <v>2.11</v>
      </c>
      <c r="C4" s="2" t="s">
        <v>45</v>
      </c>
      <c r="D4" s="68" t="s">
        <v>95</v>
      </c>
    </row>
    <row r="5" spans="1:4" ht="15">
      <c r="A5" s="72">
        <v>41220</v>
      </c>
      <c r="B5" s="102">
        <v>2.12</v>
      </c>
      <c r="C5" s="2" t="s">
        <v>45</v>
      </c>
      <c r="D5" s="68" t="s">
        <v>98</v>
      </c>
    </row>
  </sheetData>
  <sheetProtection selectLockedCells="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W19"/>
  <sheetViews>
    <sheetView zoomScalePageLayoutView="0" workbookViewId="0" topLeftCell="A1">
      <selection activeCell="W15" sqref="W15"/>
    </sheetView>
  </sheetViews>
  <sheetFormatPr defaultColWidth="8.8515625" defaultRowHeight="15"/>
  <cols>
    <col min="1" max="1" width="11.28125" style="0" bestFit="1" customWidth="1"/>
  </cols>
  <sheetData>
    <row r="1" spans="2:6" ht="15">
      <c r="B1">
        <f ca="1">YEAR(TODAY())</f>
        <v>2012</v>
      </c>
      <c r="D1">
        <f>IF(D2&lt;$B$2,+$B$1+1,$B$1)</f>
        <v>2012</v>
      </c>
      <c r="F1">
        <f>IF(F2=3,D1+1,D1)</f>
        <v>2013</v>
      </c>
    </row>
    <row r="2" spans="2:6" ht="15">
      <c r="B2">
        <f ca="1">MONTH(TODAY())</f>
        <v>11</v>
      </c>
      <c r="D2">
        <f>IF(ROUNDDOWN(B2/3,0)*3&lt;B2,((ROUNDDOWN(B2/3,0)+1)*3),ROUNDDOWN(B2/3,0)*3)</f>
        <v>12</v>
      </c>
      <c r="F2">
        <f>IF(D2=12,3,+D2+3)</f>
        <v>3</v>
      </c>
    </row>
    <row r="3" spans="4:6" ht="15">
      <c r="D3">
        <f>WEEKDAY(DATE(D1,D2,1))</f>
        <v>7</v>
      </c>
      <c r="F3">
        <f>WEEKDAY(DATE(F1,F2,1))</f>
        <v>6</v>
      </c>
    </row>
    <row r="4" spans="1:6" ht="15">
      <c r="A4" t="s">
        <v>89</v>
      </c>
      <c r="D4">
        <f>VLOOKUP(D3,ThursdayBeforeThirdFriday,2,FALSE)</f>
        <v>21</v>
      </c>
      <c r="F4">
        <f>VLOOKUP(F3,ThursdayBeforeThirdFriday,2,FALSE)</f>
        <v>15</v>
      </c>
    </row>
    <row r="5" spans="1:23" ht="15">
      <c r="A5" t="s">
        <v>91</v>
      </c>
      <c r="D5" s="165">
        <f ca="1">IF(DAY(TODAY())&gt;D4,DATE(F1,F2,F4),DATE(D1,D2,D4))</f>
        <v>41264</v>
      </c>
      <c r="V5">
        <v>1</v>
      </c>
      <c r="W5">
        <v>20</v>
      </c>
    </row>
    <row r="6" spans="1:23" ht="15">
      <c r="A6" t="s">
        <v>90</v>
      </c>
      <c r="D6">
        <f>VLOOKUP(D3,mondaybeforefourthtuesday,2,FALSE)</f>
        <v>25</v>
      </c>
      <c r="F6">
        <f>VLOOKUP(F3,mondaybeforefourthtuesday,2,FALSE)</f>
        <v>26</v>
      </c>
      <c r="V6">
        <v>2</v>
      </c>
      <c r="W6">
        <v>19</v>
      </c>
    </row>
    <row r="7" spans="1:23" ht="15">
      <c r="A7" t="s">
        <v>91</v>
      </c>
      <c r="D7" s="165">
        <f ca="1">IF(DAY(TODAY())&gt;D6,DATE(F1,F2,F6),DATE(D1,D2,D6))</f>
        <v>41268</v>
      </c>
      <c r="V7">
        <v>3</v>
      </c>
      <c r="W7">
        <v>18</v>
      </c>
    </row>
    <row r="8" spans="22:23" ht="15">
      <c r="V8">
        <v>4</v>
      </c>
      <c r="W8">
        <v>17</v>
      </c>
    </row>
    <row r="9" spans="22:23" ht="15">
      <c r="V9">
        <v>5</v>
      </c>
      <c r="W9">
        <v>16</v>
      </c>
    </row>
    <row r="10" spans="22:23" ht="15">
      <c r="V10">
        <v>6</v>
      </c>
      <c r="W10">
        <v>15</v>
      </c>
    </row>
    <row r="11" spans="22:23" ht="15">
      <c r="V11">
        <v>7</v>
      </c>
      <c r="W11">
        <v>21</v>
      </c>
    </row>
    <row r="13" spans="22:23" ht="15">
      <c r="V13">
        <v>1</v>
      </c>
      <c r="W13">
        <v>24</v>
      </c>
    </row>
    <row r="14" spans="22:23" ht="15">
      <c r="V14">
        <v>2</v>
      </c>
      <c r="W14">
        <v>23</v>
      </c>
    </row>
    <row r="15" spans="22:23" ht="15">
      <c r="V15">
        <v>3</v>
      </c>
      <c r="W15">
        <v>22</v>
      </c>
    </row>
    <row r="16" spans="22:23" ht="15">
      <c r="V16">
        <v>4</v>
      </c>
      <c r="W16">
        <v>28</v>
      </c>
    </row>
    <row r="17" spans="22:23" ht="15">
      <c r="V17">
        <v>5</v>
      </c>
      <c r="W17">
        <v>27</v>
      </c>
    </row>
    <row r="18" spans="22:23" ht="15">
      <c r="V18">
        <v>6</v>
      </c>
      <c r="W18">
        <v>26</v>
      </c>
    </row>
    <row r="19" spans="22:23" ht="15">
      <c r="V19">
        <v>7</v>
      </c>
      <c r="W19">
        <v>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TheCOOLClubDude</dc:creator>
  <cp:keywords/>
  <dc:description/>
  <cp:lastModifiedBy>MalcolmM</cp:lastModifiedBy>
  <cp:lastPrinted>2012-11-16T17:54:50Z</cp:lastPrinted>
  <dcterms:created xsi:type="dcterms:W3CDTF">2012-07-28T14:43:21Z</dcterms:created>
  <dcterms:modified xsi:type="dcterms:W3CDTF">2012-11-16T19:05:44Z</dcterms:modified>
  <cp:category/>
  <cp:version/>
  <cp:contentType/>
  <cp:contentStatus/>
</cp:coreProperties>
</file>