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Dashboard" sheetId="1" r:id="rId1"/>
    <sheet name="Sectors" sheetId="2" r:id="rId2"/>
    <sheet name="wqMIDashboard" sheetId="3" state="hidden" r:id="rId3"/>
    <sheet name="wqMIStock" sheetId="4" state="hidden" r:id="rId4"/>
  </sheets>
  <definedNames>
    <definedName name="base">'Dashboard'!$A$6</definedName>
    <definedName name="chartGrowthLabels">'Sectors'!$A$21:$A$24</definedName>
    <definedName name="chartGrowthValues">'Sectors'!$B$21:$B$24</definedName>
    <definedName name="chartPctLabels">'Dashboard'!$A$7:$A$24</definedName>
    <definedName name="chartPctTitle">'Dashboard'!$C$6</definedName>
    <definedName name="chartPctValues">'Dashboard'!$C$7:$C$24</definedName>
    <definedName name="chartSectorLabels">'Sectors'!$D$2:$D$13</definedName>
    <definedName name="chartSectorValues">'Sectors'!$C$2:$C$13</definedName>
    <definedName name="coloffsetBase">'wqMIDashboard'!$A$4</definedName>
    <definedName name="DashboardID">'Dashboard'!$A$2</definedName>
    <definedName name="fPublicDashboard">'Dashboard'!$B$2</definedName>
    <definedName name="mapCompanySize">'Dashboard'!$M$3:$O$5</definedName>
    <definedName name="mapSector">'Sectors'!$E:$F</definedName>
    <definedName name="MaxPos">'Dashboard'!$I$3</definedName>
    <definedName name="miDashboard" localSheetId="2">'wqMIDashboard'!$A$18:$M$82</definedName>
    <definedName name="MinPos">'Dashboard'!$I$1</definedName>
    <definedName name="MIPARmax">'wqMIDashboard'!$D$16</definedName>
    <definedName name="MIPARmin">'wqMIDashboard'!$C$16</definedName>
    <definedName name="miStock" localSheetId="3">'wqMIStock'!$A$11:$E$92</definedName>
    <definedName name="NumStocks">'Dashboard'!$H$2</definedName>
    <definedName name="Portfolio">'Dashboard'!$A$6:$O$25</definedName>
    <definedName name="rowoffsetCompanyName">'wqMIDashboard'!$A$3</definedName>
    <definedName name="rowoffsetStock">'wqMIStock'!$A$2</definedName>
    <definedName name="StockCurrentSales">'wqMIStock'!$D$6</definedName>
    <definedName name="StockFinancialStrength">'wqMIStock'!$C$5</definedName>
    <definedName name="StockIndustry">'wqMIStock'!$C$9</definedName>
    <definedName name="StockName">'wqMIStock'!$C$2</definedName>
    <definedName name="StockTicker">'wqMIStock'!$A$1</definedName>
    <definedName name="TickerSymbols">'Dashboard'!$A$7:$A$23</definedName>
  </definedNames>
  <calcPr fullCalcOnLoad="1"/>
</workbook>
</file>

<file path=xl/sharedStrings.xml><?xml version="1.0" encoding="utf-8"?>
<sst xmlns="http://schemas.openxmlformats.org/spreadsheetml/2006/main" count="598" uniqueCount="308">
  <si>
    <t>Manifest Investing</t>
  </si>
  <si>
    <t>Home</t>
  </si>
  <si>
    <t>Articles</t>
  </si>
  <si>
    <t>Issues</t>
  </si>
  <si>
    <t>Stocks</t>
  </si>
  <si>
    <t>Funds</t>
  </si>
  <si>
    <t>StockSearch</t>
  </si>
  <si>
    <t>My Dashboards</t>
  </si>
  <si>
    <t>Forum</t>
  </si>
  <si>
    <t>About</t>
  </si>
  <si>
    <t>Help</t>
  </si>
  <si>
    <t>Shares</t>
  </si>
  <si>
    <t>Price</t>
  </si>
  <si>
    <t>Value</t>
  </si>
  <si>
    <t>Growth</t>
  </si>
  <si>
    <t>Proj Yield</t>
  </si>
  <si>
    <t>Qlty</t>
  </si>
  <si>
    <t>PAR</t>
  </si>
  <si>
    <t>Cash</t>
  </si>
  <si>
    <t>Totals &amp; Averages</t>
  </si>
  <si>
    <t>Portfolio Averages</t>
  </si>
  <si>
    <t>Quality</t>
  </si>
  <si>
    <t>Average P/E Ratio</t>
  </si>
  <si>
    <t>Average Yield</t>
  </si>
  <si>
    <t>Financial Strength</t>
  </si>
  <si>
    <t>Quality Legend:</t>
  </si>
  <si>
    <t>Blue</t>
  </si>
  <si>
    <t>Excellent with quality greater than 65.</t>
  </si>
  <si>
    <t>Green</t>
  </si>
  <si>
    <t>Good with quality between 55 and 65.</t>
  </si>
  <si>
    <t>Neutral</t>
  </si>
  <si>
    <t>Average or below average with quality between 35 and 55.</t>
  </si>
  <si>
    <t>Red</t>
  </si>
  <si>
    <t>Poor with quality less than 35.</t>
  </si>
  <si>
    <t>PAR Legend:</t>
  </si>
  <si>
    <t>Yellow</t>
  </si>
  <si>
    <t>Projected Annual Return</t>
  </si>
  <si>
    <t>MIPAR</t>
  </si>
  <si>
    <t>The Manifest Investing Median PAR of all stocks in the database.</t>
  </si>
  <si>
    <t>Disclaimer | Privacy Policy</t>
  </si>
  <si>
    <t>Dashboard Name</t>
  </si>
  <si>
    <t>Dashboard ID</t>
  </si>
  <si>
    <r>
      <t>◄</t>
    </r>
    <r>
      <rPr>
        <b/>
        <sz val="10"/>
        <rFont val="Arial"/>
        <family val="0"/>
      </rPr>
      <t>————— Leave This Row Empty!————— ►</t>
    </r>
  </si>
  <si>
    <t>Company</t>
  </si>
  <si>
    <t>Industry</t>
  </si>
  <si>
    <t>Current Sales</t>
  </si>
  <si>
    <t>Projected Shares Outstanding</t>
  </si>
  <si>
    <t>Questions? Contact support.</t>
  </si>
  <si>
    <t>Retail Building Supply</t>
  </si>
  <si>
    <t>Retail Special (Home)</t>
  </si>
  <si>
    <t>Biotechnology</t>
  </si>
  <si>
    <t>Diversified</t>
  </si>
  <si>
    <t>Homebuilding</t>
  </si>
  <si>
    <t>Medical Supplies (Orthopedic)</t>
  </si>
  <si>
    <t>Dashboard URL:</t>
  </si>
  <si>
    <t>Technology</t>
  </si>
  <si>
    <t>Staples</t>
  </si>
  <si>
    <t>Materials</t>
  </si>
  <si>
    <t>Discretionary</t>
  </si>
  <si>
    <t>Healthcare</t>
  </si>
  <si>
    <t>Energy</t>
  </si>
  <si>
    <t>Utilities</t>
  </si>
  <si>
    <t>Wireless Networking</t>
  </si>
  <si>
    <t>Advertising</t>
  </si>
  <si>
    <t>Apparel</t>
  </si>
  <si>
    <t>Auto &amp; Truck</t>
  </si>
  <si>
    <t>Auto Parts</t>
  </si>
  <si>
    <t>Cable TV</t>
  </si>
  <si>
    <t>Educational Services</t>
  </si>
  <si>
    <t>Entertainment</t>
  </si>
  <si>
    <t>Foreign Elec/Entertain</t>
  </si>
  <si>
    <t>Furniture/Home Furnishings</t>
  </si>
  <si>
    <t>Home Appliance</t>
  </si>
  <si>
    <t>Human Resources</t>
  </si>
  <si>
    <t>Manuf Hsng/Rec Vehicle</t>
  </si>
  <si>
    <t>Newspaper</t>
  </si>
  <si>
    <t>Office Equip &amp; Supplies</t>
  </si>
  <si>
    <t>Publishing</t>
  </si>
  <si>
    <t>Recreation</t>
  </si>
  <si>
    <t>Restaurant (Casual)</t>
  </si>
  <si>
    <t>Restaurant (Fast)</t>
  </si>
  <si>
    <t>Retail Automotive</t>
  </si>
  <si>
    <t>Retail Special</t>
  </si>
  <si>
    <t>Retail Special (Arts &amp; Crafts)</t>
  </si>
  <si>
    <t>Retail Special (Books)</t>
  </si>
  <si>
    <t>Retail Special (Jewelry)</t>
  </si>
  <si>
    <t>Retail Special (Sporting Goods)</t>
  </si>
  <si>
    <t>Retail Special (Women's Apparel)</t>
  </si>
  <si>
    <t>Retail Store</t>
  </si>
  <si>
    <t>Retail Store (Discount)</t>
  </si>
  <si>
    <t>Shoe</t>
  </si>
  <si>
    <t>Toiletries/Cosmetics</t>
  </si>
  <si>
    <t>Canadian Energy</t>
  </si>
  <si>
    <t>Coal</t>
  </si>
  <si>
    <t>Natural Gas (Distrib.)</t>
  </si>
  <si>
    <t>Natural Gas (Div.)</t>
  </si>
  <si>
    <t>Oilfield Svcs/Equip</t>
  </si>
  <si>
    <t>Petroleum (Producing)</t>
  </si>
  <si>
    <t>Power</t>
  </si>
  <si>
    <t>Asset Management</t>
  </si>
  <si>
    <t>Bank</t>
  </si>
  <si>
    <t>Bank (Midwest)</t>
  </si>
  <si>
    <t>Insurance (Life)</t>
  </si>
  <si>
    <t>Insurance (Prop/Cas.)</t>
  </si>
  <si>
    <t>REIT (Commercial)</t>
  </si>
  <si>
    <t>REIT (Diversified)</t>
  </si>
  <si>
    <t>REIT (Healthcare)</t>
  </si>
  <si>
    <t>REIT (Industrial)</t>
  </si>
  <si>
    <t>REIT (Mortgage)</t>
  </si>
  <si>
    <t>REIT (Office)</t>
  </si>
  <si>
    <t>REIT (Residential)</t>
  </si>
  <si>
    <t>Securities Brokerage</t>
  </si>
  <si>
    <t>Thrift</t>
  </si>
  <si>
    <t>Drug</t>
  </si>
  <si>
    <t>Drug (Diversified)</t>
  </si>
  <si>
    <t>Drug (Generic)</t>
  </si>
  <si>
    <t>Drug (Major)</t>
  </si>
  <si>
    <t>Healthcare Information</t>
  </si>
  <si>
    <t>Medical Services</t>
  </si>
  <si>
    <t>Medical Services (Managed Care)</t>
  </si>
  <si>
    <t>Medical Supplies</t>
  </si>
  <si>
    <t>Medical Supplies (Cardiology)</t>
  </si>
  <si>
    <t>Medical Supplies (Dental)</t>
  </si>
  <si>
    <t>Medical Supplies (Devices)</t>
  </si>
  <si>
    <t>Medical Supplies (Diagnostics)</t>
  </si>
  <si>
    <t>Medical Supplies (Disposables)</t>
  </si>
  <si>
    <t>Medical Supplies (Distributors)</t>
  </si>
  <si>
    <t>Medical Supplies (R&amp;D)</t>
  </si>
  <si>
    <t>Medical Supplies (Surgical)</t>
  </si>
  <si>
    <t>Medical Supplies (Vision)</t>
  </si>
  <si>
    <t>Pharmacy Services</t>
  </si>
  <si>
    <t>Aerospace/Defense</t>
  </si>
  <si>
    <t>Air Transport</t>
  </si>
  <si>
    <t>Air Transport (Freight)</t>
  </si>
  <si>
    <t>Electrical Equipment</t>
  </si>
  <si>
    <t>Environmental</t>
  </si>
  <si>
    <t>Industrial Services</t>
  </si>
  <si>
    <t>Machinery</t>
  </si>
  <si>
    <t>Maritime</t>
  </si>
  <si>
    <t>Metal Fabricating</t>
  </si>
  <si>
    <t>Railroad</t>
  </si>
  <si>
    <t>Trucking</t>
  </si>
  <si>
    <t>Building Materials</t>
  </si>
  <si>
    <t>Cement &amp; Aggregates</t>
  </si>
  <si>
    <t>Chemical (Basic)</t>
  </si>
  <si>
    <t>Chemical (Diversified)</t>
  </si>
  <si>
    <t>Chemical (Specialty)</t>
  </si>
  <si>
    <t>Metals &amp; Mining</t>
  </si>
  <si>
    <t>Packaging &amp; Container</t>
  </si>
  <si>
    <t>Paper &amp; Forest Products</t>
  </si>
  <si>
    <t>Petroleum (Integrated)</t>
  </si>
  <si>
    <t>Precious Metals</t>
  </si>
  <si>
    <t>Steel (General)</t>
  </si>
  <si>
    <t>Beverage (Alcoholic)</t>
  </si>
  <si>
    <t>Beverage (Soft Drink)</t>
  </si>
  <si>
    <t>Food Processing</t>
  </si>
  <si>
    <t>Food Processing (Confections)</t>
  </si>
  <si>
    <t>Food Wholesalers</t>
  </si>
  <si>
    <t>Grocery</t>
  </si>
  <si>
    <t>Household Products</t>
  </si>
  <si>
    <t>Tobacco</t>
  </si>
  <si>
    <t>Communications Equip</t>
  </si>
  <si>
    <t>Computer Peripherals</t>
  </si>
  <si>
    <t>Computer Storage</t>
  </si>
  <si>
    <t>Computer Systems</t>
  </si>
  <si>
    <t>E-Commerce</t>
  </si>
  <si>
    <t>Electronics</t>
  </si>
  <si>
    <t>Entertainment Tech</t>
  </si>
  <si>
    <t>Information Services</t>
  </si>
  <si>
    <t>Internet</t>
  </si>
  <si>
    <t>Precision Instrument</t>
  </si>
  <si>
    <t>Foreign Telecom.</t>
  </si>
  <si>
    <t>Telecomm Services</t>
  </si>
  <si>
    <t>Electric Utility (Central)</t>
  </si>
  <si>
    <t>Electric Utility (East)</t>
  </si>
  <si>
    <t>Electric Utility (West)</t>
  </si>
  <si>
    <t>Water Utility</t>
  </si>
  <si>
    <t>Sector</t>
  </si>
  <si>
    <t xml:space="preserve"> n/a</t>
  </si>
  <si>
    <t>Financial</t>
  </si>
  <si>
    <t>Industrial</t>
  </si>
  <si>
    <t>Telecomm</t>
  </si>
  <si>
    <t>Growth Diversification</t>
  </si>
  <si>
    <t>Sector Diversification</t>
  </si>
  <si>
    <t>Software (Data Processing)</t>
  </si>
  <si>
    <t>Software (Accounting)</t>
  </si>
  <si>
    <t>Software (Application)</t>
  </si>
  <si>
    <t>Software (Consulting)</t>
  </si>
  <si>
    <t>Software (Systems)</t>
  </si>
  <si>
    <t>*</t>
  </si>
  <si>
    <t>EPS Stability</t>
  </si>
  <si>
    <t>Proj P/E</t>
  </si>
  <si>
    <t>Bank (Money Center)</t>
  </si>
  <si>
    <t>Fin Str</t>
  </si>
  <si>
    <t>EPS Stab</t>
  </si>
  <si>
    <t>% of Total</t>
  </si>
  <si>
    <t>Credit Services</t>
  </si>
  <si>
    <t>Electric Utility (Foreign)</t>
  </si>
  <si>
    <t>Electronics (Circuit Boards)</t>
  </si>
  <si>
    <t>Electronics (Wholesale)</t>
  </si>
  <si>
    <t>Insurance (Miscellaneous)</t>
  </si>
  <si>
    <t>Oil &amp; Gas (E&amp;P)</t>
  </si>
  <si>
    <t>Power (Independent)</t>
  </si>
  <si>
    <t>Professional Services</t>
  </si>
  <si>
    <t>Rental &amp; Leasing</t>
  </si>
  <si>
    <t>Current Shareholder Equity</t>
  </si>
  <si>
    <t>Symbol</t>
  </si>
  <si>
    <t>S</t>
  </si>
  <si>
    <t>M</t>
  </si>
  <si>
    <t>L</t>
  </si>
  <si>
    <t>Not covered by Value Line Standard Edition.</t>
  </si>
  <si>
    <t>b</t>
  </si>
  <si>
    <t>Uses price-to-book value for valuation purposes.</t>
  </si>
  <si>
    <t>Construction</t>
  </si>
  <si>
    <t>Oil/Gas Distribution</t>
  </si>
  <si>
    <t>Reinsurance</t>
  </si>
  <si>
    <t>Size</t>
  </si>
  <si>
    <t>Industrial Wholesale</t>
  </si>
  <si>
    <t>Oil &amp; Gas (Drilling)</t>
  </si>
  <si>
    <t>Oil &amp; Gas (Equip/Serv)</t>
  </si>
  <si>
    <t>Oil &amp; Gas (Supply/Tran)</t>
  </si>
  <si>
    <t>REIT (Energy)</t>
  </si>
  <si>
    <t>Semiconductor (Broad Line) [P/CF]</t>
  </si>
  <si>
    <t>Semiconductor (Specialized) [P/CF]</t>
  </si>
  <si>
    <t>Semiconductor Equip [P/CF]</t>
  </si>
  <si>
    <t>Semiconductor [P/CF]</t>
  </si>
  <si>
    <t>Steel (Integrated) [P/CF]</t>
  </si>
  <si>
    <t>Wireless Serv (Intl)</t>
  </si>
  <si>
    <t>Hotel</t>
  </si>
  <si>
    <t>Gaming</t>
  </si>
  <si>
    <t>Funeral Services</t>
  </si>
  <si>
    <t>Walgreen</t>
  </si>
  <si>
    <t>WAG</t>
  </si>
  <si>
    <t>P/CF</t>
  </si>
  <si>
    <t>Uses price-to-cash flow for valuation.</t>
  </si>
  <si>
    <t>Public Dashboard: Southeastern MI Model Club</t>
  </si>
  <si>
    <t>Southeastern MI Model Club</t>
  </si>
  <si>
    <t>Dashboard: Southeastern MI Model Club</t>
  </si>
  <si>
    <t>Microsoft</t>
  </si>
  <si>
    <t>MSFT</t>
  </si>
  <si>
    <t>Teva Pharma</t>
  </si>
  <si>
    <t>TEVA</t>
  </si>
  <si>
    <t>Infosys Tech</t>
  </si>
  <si>
    <t>INFY</t>
  </si>
  <si>
    <t>FactSet Research</t>
  </si>
  <si>
    <t>FDS</t>
  </si>
  <si>
    <t>Danaher</t>
  </si>
  <si>
    <t>DHR</t>
  </si>
  <si>
    <t>Stryker</t>
  </si>
  <si>
    <t>SYK</t>
  </si>
  <si>
    <t>Cisco Systems</t>
  </si>
  <si>
    <t>CSCO</t>
  </si>
  <si>
    <t>Parker-Hannifin</t>
  </si>
  <si>
    <t>PH</t>
  </si>
  <si>
    <t>Ecolab</t>
  </si>
  <si>
    <t>ECL</t>
  </si>
  <si>
    <t>Quality Systems*</t>
  </si>
  <si>
    <t>QSII</t>
  </si>
  <si>
    <t>Minimum</t>
  </si>
  <si>
    <t>Ideal</t>
  </si>
  <si>
    <t>Maximum</t>
  </si>
  <si>
    <t>Almost Family*</t>
  </si>
  <si>
    <t>AFAM</t>
  </si>
  <si>
    <t>Sysco Corp.</t>
  </si>
  <si>
    <t>SYY</t>
  </si>
  <si>
    <t>©2005-2010 Manifest Investing, LLC. All rights reserved.</t>
  </si>
  <si>
    <t>AFLAC</t>
  </si>
  <si>
    <t>AFL</t>
  </si>
  <si>
    <t>Welcome, Christopher Johnson. Your subscription expires on 05/16/11. [Renew]</t>
  </si>
  <si>
    <t>christopher.g.johnson@gmail.com | Sign Out</t>
  </si>
  <si>
    <t>Fundamental Forecasts</t>
  </si>
  <si>
    <t>Enter a ticker or a company name and click on Go.</t>
  </si>
  <si>
    <t>Company Lookup:</t>
  </si>
  <si>
    <t>Ticker</t>
  </si>
  <si>
    <t>Name</t>
  </si>
  <si>
    <t>CAPS Rating (Rate this stock on CAPS)</t>
  </si>
  <si>
    <t>Expected Income Statement</t>
  </si>
  <si>
    <t>Sales Growth Forecast</t>
  </si>
  <si>
    <t>Net Profit Margin</t>
  </si>
  <si>
    <t>EPS - Five Year Forecast</t>
  </si>
  <si>
    <t>Projected Average Price</t>
  </si>
  <si>
    <t>Price Appreciation (Annualized)</t>
  </si>
  <si>
    <t>Annual Dividend Yield</t>
  </si>
  <si>
    <t>Industry Sales Growth Rate</t>
  </si>
  <si>
    <t>Industry Net Profit Margin</t>
  </si>
  <si>
    <t>Calculated Quality Rating</t>
  </si>
  <si>
    <t>Fool CAPS</t>
  </si>
  <si>
    <t>Total Players</t>
  </si>
  <si>
    <t>All-Stars</t>
  </si>
  <si>
    <t>Food (Retail)</t>
  </si>
  <si>
    <t>Buffalo Wild Wings</t>
  </si>
  <si>
    <t>BWLD</t>
  </si>
  <si>
    <t>MIPar</t>
  </si>
  <si>
    <t>Cash Percentage</t>
  </si>
  <si>
    <t>Apple Inc.</t>
  </si>
  <si>
    <t>AAPL</t>
  </si>
  <si>
    <t>Mastercard Inc.</t>
  </si>
  <si>
    <t>MA</t>
  </si>
  <si>
    <t xml:space="preserve"> Cash</t>
  </si>
  <si>
    <t>Fundamental Data Updated: 10/29/2010</t>
  </si>
  <si>
    <t>Date: 11/19/2010</t>
  </si>
  <si>
    <t>PAR is within the target range of MIPAR +5-10%, currently 13.4-18.4%.</t>
  </si>
  <si>
    <t>PAR is above the target range of MIPAR +10%, currently 18.4%.</t>
  </si>
  <si>
    <t>Current Price (11/18)</t>
  </si>
  <si>
    <t>1166 Outperforms</t>
  </si>
  <si>
    <t>41 Underperforms</t>
  </si>
  <si>
    <t>406 Outperforms (98.8%)</t>
  </si>
  <si>
    <t>5 Underperforms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</si>
</sst>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&quot;$&quot;#,##0.00"/>
    <numFmt numFmtId="171" formatCode="0.0"/>
    <numFmt numFmtId="172" formatCode="0.000%"/>
    <numFmt numFmtId="173" formatCode="0_);\(0\)"/>
    <numFmt numFmtId="174" formatCode="0.0_);\(0.0\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indent="1"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 horizontal="center" vertical="center" wrapText="1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6" fontId="0" fillId="0" borderId="0" xfId="0" applyNumberFormat="1" applyAlignment="1">
      <alignment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/>
    </xf>
    <xf numFmtId="5" fontId="8" fillId="0" borderId="0" xfId="0" applyNumberFormat="1" applyFont="1" applyAlignment="1">
      <alignment/>
    </xf>
    <xf numFmtId="168" fontId="0" fillId="0" borderId="0" xfId="0" applyNumberFormat="1" applyAlignment="1">
      <alignment vertical="center"/>
    </xf>
    <xf numFmtId="0" fontId="0" fillId="0" borderId="0" xfId="2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FF99"/>
        </patternFill>
      </fill>
      <border/>
    </dxf>
    <dxf>
      <font>
        <b/>
        <i val="0"/>
        <color rgb="FF339966"/>
      </font>
      <border/>
    </dxf>
    <dxf>
      <font>
        <b/>
        <i val="0"/>
        <color rgb="FF3366FF"/>
      </font>
      <border/>
    </dxf>
    <dxf>
      <font>
        <color rgb="FF339966"/>
      </font>
      <border/>
    </dxf>
    <dxf>
      <font>
        <color rgb="FFFF0000"/>
      </font>
      <border/>
    </dxf>
    <dxf>
      <fill>
        <patternFill>
          <bgColor rgb="FFFFFF00"/>
        </patternFill>
      </fill>
      <border/>
    </dxf>
    <dxf>
      <font>
        <b/>
        <i val="0"/>
        <strike val="0"/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of Total</a:t>
            </a:r>
          </a:p>
        </c:rich>
      </c:tx>
      <c:layout>
        <c:manualLayout>
          <c:xMode val="factor"/>
          <c:yMode val="factor"/>
          <c:x val="-0.43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[0]!chartPctTitle</c:f>
              <c:strCache>
                <c:ptCount val="1"/>
                <c:pt idx="0">
                  <c:v>% of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[0]!chartPctLabels</c:f>
              <c:strCache/>
            </c:strRef>
          </c:cat>
          <c:val>
            <c:numRef>
              <c:f>[0]!chartPctValues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Sector
Diversification</a:t>
            </a:r>
          </a:p>
        </c:rich>
      </c:tx>
      <c:layout>
        <c:manualLayout>
          <c:xMode val="factor"/>
          <c:yMode val="factor"/>
          <c:x val="-0.4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0125"/>
          <c:w val="0.998"/>
          <c:h val="0.99875"/>
        </c:manualLayout>
      </c:layout>
      <c:pieChart>
        <c:varyColors val="1"/>
        <c:ser>
          <c:idx val="0"/>
          <c:order val="0"/>
          <c:tx>
            <c:v>Sector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[0]!chartSectorLabels</c:f>
              <c:strCache>
                <c:ptCount val="12"/>
                <c:pt idx="0">
                  <c:v>Healthcare</c:v>
                </c:pt>
                <c:pt idx="1">
                  <c:v>Technology</c:v>
                </c:pt>
                <c:pt idx="2">
                  <c:v>Industrial</c:v>
                </c:pt>
                <c:pt idx="3">
                  <c:v>Financial</c:v>
                </c:pt>
                <c:pt idx="4">
                  <c:v>Discretionary</c:v>
                </c:pt>
                <c:pt idx="5">
                  <c:v>Staples</c:v>
                </c:pt>
                <c:pt idx="6">
                  <c:v>Telecomm</c:v>
                </c:pt>
                <c:pt idx="7">
                  <c:v>Cash</c:v>
                </c:pt>
                <c:pt idx="8">
                  <c:v>Materials</c:v>
                </c:pt>
                <c:pt idx="9">
                  <c:v> n/a</c:v>
                </c:pt>
                <c:pt idx="10">
                  <c:v>Energy</c:v>
                </c:pt>
                <c:pt idx="11">
                  <c:v>Utilities</c:v>
                </c:pt>
              </c:strCache>
            </c:strRef>
          </c:cat>
          <c:val>
            <c:numRef>
              <c:f>[0]!chartSectorValues</c:f>
              <c:numCache>
                <c:ptCount val="12"/>
                <c:pt idx="0">
                  <c:v>0.23240207163177476</c:v>
                </c:pt>
                <c:pt idx="1">
                  <c:v>0.21081041651469837</c:v>
                </c:pt>
                <c:pt idx="2">
                  <c:v>0.1671164928149391</c:v>
                </c:pt>
                <c:pt idx="3">
                  <c:v>0.09499841952974931</c:v>
                </c:pt>
                <c:pt idx="4">
                  <c:v>0.08073771488316678</c:v>
                </c:pt>
                <c:pt idx="5">
                  <c:v>0.06657426994431882</c:v>
                </c:pt>
                <c:pt idx="6">
                  <c:v>0.054112869890825976</c:v>
                </c:pt>
                <c:pt idx="7">
                  <c:v>0.04787609113234615</c:v>
                </c:pt>
                <c:pt idx="8">
                  <c:v>0.024424344104845966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Growth
Diversification</a:t>
            </a:r>
          </a:p>
        </c:rich>
      </c:tx>
      <c:layout>
        <c:manualLayout>
          <c:xMode val="factor"/>
          <c:yMode val="factor"/>
          <c:x val="-0.4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0125"/>
          <c:w val="0.998"/>
          <c:h val="0.99875"/>
        </c:manualLayout>
      </c:layout>
      <c:pieChart>
        <c:varyColors val="1"/>
        <c:ser>
          <c:idx val="0"/>
          <c:order val="0"/>
          <c:tx>
            <c:v>Growth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[0]!chartGrowthLabels</c:f>
              <c:strCache>
                <c:ptCount val="4"/>
                <c:pt idx="0">
                  <c:v>15% &amp; up</c:v>
                </c:pt>
                <c:pt idx="1">
                  <c:v>12% to 15%</c:v>
                </c:pt>
                <c:pt idx="2">
                  <c:v>8% to 12%</c:v>
                </c:pt>
                <c:pt idx="3">
                  <c:v>below 8%</c:v>
                </c:pt>
              </c:strCache>
            </c:strRef>
          </c:cat>
          <c:val>
            <c:numRef>
              <c:f>[0]!chartGrowthValues</c:f>
              <c:numCache>
                <c:ptCount val="4"/>
                <c:pt idx="0">
                  <c:v>0.08028788873489436</c:v>
                </c:pt>
                <c:pt idx="1">
                  <c:v>0.28238140394388117</c:v>
                </c:pt>
                <c:pt idx="2">
                  <c:v>0.4775086925863788</c:v>
                </c:pt>
                <c:pt idx="3">
                  <c:v>0.1598220147348457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27</xdr:row>
      <xdr:rowOff>0</xdr:rowOff>
    </xdr:from>
    <xdr:to>
      <xdr:col>7</xdr:col>
      <xdr:colOff>47625</xdr:colOff>
      <xdr:row>50</xdr:row>
      <xdr:rowOff>47625</xdr:rowOff>
    </xdr:to>
    <xdr:graphicFrame>
      <xdr:nvGraphicFramePr>
        <xdr:cNvPr id="1" name="Chart 44"/>
        <xdr:cNvGraphicFramePr/>
      </xdr:nvGraphicFramePr>
      <xdr:xfrm>
        <a:off x="0" y="4819650"/>
        <a:ext cx="377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142875</xdr:colOff>
      <xdr:row>27</xdr:row>
      <xdr:rowOff>0</xdr:rowOff>
    </xdr:from>
    <xdr:to>
      <xdr:col>11</xdr:col>
      <xdr:colOff>1114425</xdr:colOff>
      <xdr:row>50</xdr:row>
      <xdr:rowOff>47625</xdr:rowOff>
    </xdr:to>
    <xdr:graphicFrame>
      <xdr:nvGraphicFramePr>
        <xdr:cNvPr id="2" name="Chart 45"/>
        <xdr:cNvGraphicFramePr/>
      </xdr:nvGraphicFramePr>
      <xdr:xfrm>
        <a:off x="3867150" y="4819650"/>
        <a:ext cx="37719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1209675</xdr:colOff>
      <xdr:row>27</xdr:row>
      <xdr:rowOff>0</xdr:rowOff>
    </xdr:from>
    <xdr:to>
      <xdr:col>16</xdr:col>
      <xdr:colOff>438150</xdr:colOff>
      <xdr:row>50</xdr:row>
      <xdr:rowOff>47625</xdr:rowOff>
    </xdr:to>
    <xdr:graphicFrame>
      <xdr:nvGraphicFramePr>
        <xdr:cNvPr id="3" name="Chart 47"/>
        <xdr:cNvGraphicFramePr/>
      </xdr:nvGraphicFramePr>
      <xdr:xfrm>
        <a:off x="7734300" y="4819650"/>
        <a:ext cx="37719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5"/>
  <sheetViews>
    <sheetView tabSelected="1" workbookViewId="0" topLeftCell="A1">
      <selection activeCell="K3" sqref="K3"/>
    </sheetView>
  </sheetViews>
  <sheetFormatPr defaultColWidth="9.140625" defaultRowHeight="12.75"/>
  <cols>
    <col min="1" max="1" width="9.57421875" style="0" customWidth="1"/>
    <col min="2" max="2" width="7.140625" style="17" bestFit="1" customWidth="1"/>
    <col min="3" max="3" width="8.57421875" style="6" customWidth="1"/>
    <col min="4" max="4" width="10.8515625" style="10" bestFit="1" customWidth="1"/>
    <col min="5" max="5" width="7.00390625" style="6" bestFit="1" customWidth="1"/>
    <col min="6" max="6" width="6.28125" style="15" customWidth="1"/>
    <col min="7" max="7" width="6.421875" style="6" bestFit="1" customWidth="1"/>
    <col min="8" max="8" width="7.00390625" style="15" customWidth="1"/>
    <col min="9" max="9" width="6.421875" style="6" bestFit="1" customWidth="1"/>
    <col min="10" max="10" width="20.57421875" style="7" bestFit="1" customWidth="1"/>
    <col min="11" max="11" width="8.00390625" style="13" customWidth="1"/>
    <col min="12" max="12" width="32.8515625" style="0" customWidth="1"/>
    <col min="13" max="13" width="11.8515625" style="7" bestFit="1" customWidth="1"/>
    <col min="14" max="14" width="10.7109375" style="10" bestFit="1" customWidth="1"/>
    <col min="15" max="15" width="6.140625" style="33" bestFit="1" customWidth="1"/>
    <col min="16" max="16" width="6.57421875" style="0" bestFit="1" customWidth="1"/>
  </cols>
  <sheetData>
    <row r="1" spans="1:14" ht="22.5">
      <c r="A1" s="4" t="s">
        <v>41</v>
      </c>
      <c r="I1" s="36">
        <f>0.5/NumStocks</f>
        <v>0.029411764705882353</v>
      </c>
      <c r="J1" s="37" t="s">
        <v>258</v>
      </c>
      <c r="N1" s="35">
        <f>VLOOKUP(" Cash",Portfolio,4,FALSE)</f>
        <v>3938</v>
      </c>
    </row>
    <row r="2" spans="1:14" ht="17.25" customHeight="1">
      <c r="A2" s="23">
        <v>217</v>
      </c>
      <c r="B2" s="17" t="b">
        <v>1</v>
      </c>
      <c r="H2" s="39">
        <f>COUNTA(TickerSymbols)</f>
        <v>17</v>
      </c>
      <c r="I2" s="36">
        <f>1/NumStocks</f>
        <v>0.058823529411764705</v>
      </c>
      <c r="J2" s="38" t="s">
        <v>259</v>
      </c>
      <c r="M2"/>
      <c r="N2" s="35">
        <f ca="1">SUM(OFFSET(Portfolio,0,3,ROWS(Portfolio)-1,1))-IF(ISNA(N1),0,N1)</f>
        <v>78316</v>
      </c>
    </row>
    <row r="3" spans="9:15" ht="12.75">
      <c r="I3" s="36">
        <f>2/NumStocks</f>
        <v>0.11764705882352941</v>
      </c>
      <c r="J3" s="38" t="s">
        <v>260</v>
      </c>
      <c r="M3" s="34">
        <v>0</v>
      </c>
      <c r="N3" s="6">
        <f ca="1">SUMIF(OFFSET(Portfolio,0,14,,1),O3,OFFSET(Portfolio,0,3,,1))/$N$2</f>
        <v>0.1842279993870984</v>
      </c>
      <c r="O3" s="33" t="s">
        <v>207</v>
      </c>
    </row>
    <row r="4" spans="1:15" ht="12.75">
      <c r="A4" s="27" t="str">
        <f ca="1">OFFSET(wqMIDashboard!miDashboard,wqMIDashboard!A2,0,1,1)</f>
        <v>Dashboard: Southeastern MI Model Club</v>
      </c>
      <c r="I4" s="6">
        <f>MIPARmin-0.05</f>
        <v>0.084</v>
      </c>
      <c r="J4" s="2" t="s">
        <v>292</v>
      </c>
      <c r="M4" s="34">
        <v>500</v>
      </c>
      <c r="N4" s="6">
        <f ca="1">SUMIF(OFFSET(Portfolio,0,14,,1),O4,OFFSET(Portfolio,0,3,,1))/$N$2</f>
        <v>0.1672072118085704</v>
      </c>
      <c r="O4" s="33" t="s">
        <v>208</v>
      </c>
    </row>
    <row r="5" spans="3:15" ht="12.75">
      <c r="C5"/>
      <c r="I5" s="6">
        <f>25%-1.25*I4</f>
        <v>0.145</v>
      </c>
      <c r="J5" s="7" t="s">
        <v>293</v>
      </c>
      <c r="M5" s="34">
        <v>5000</v>
      </c>
      <c r="N5" s="6">
        <f ca="1">SUMIF(OFFSET(Portfolio,0,14,,1),O5,OFFSET(Portfolio,0,3,,1))/$N$2</f>
        <v>0.6485647888043312</v>
      </c>
      <c r="O5" s="33" t="s">
        <v>209</v>
      </c>
    </row>
    <row r="6" spans="1:15" s="4" customFormat="1" ht="33.75">
      <c r="A6" s="4" t="s">
        <v>206</v>
      </c>
      <c r="B6" s="18" t="s">
        <v>11</v>
      </c>
      <c r="C6" s="8" t="s">
        <v>195</v>
      </c>
      <c r="D6" s="11" t="s">
        <v>13</v>
      </c>
      <c r="E6" s="8" t="s">
        <v>14</v>
      </c>
      <c r="F6" s="16" t="s">
        <v>191</v>
      </c>
      <c r="G6" s="8" t="s">
        <v>15</v>
      </c>
      <c r="H6" s="16" t="s">
        <v>16</v>
      </c>
      <c r="I6" s="8" t="s">
        <v>17</v>
      </c>
      <c r="J6" s="9" t="s">
        <v>43</v>
      </c>
      <c r="K6" s="14" t="s">
        <v>24</v>
      </c>
      <c r="L6" s="4" t="s">
        <v>44</v>
      </c>
      <c r="M6" s="9" t="s">
        <v>177</v>
      </c>
      <c r="N6" s="11" t="s">
        <v>45</v>
      </c>
      <c r="O6" s="9" t="s">
        <v>216</v>
      </c>
    </row>
    <row r="7" spans="1:15" ht="12.75">
      <c r="A7" s="32" t="str">
        <f>HYPERLINK("http://www.manifestinvesting.com/auth/quality_return.pl?rm=show_qer&amp;symbol=AAPL","AAPL")</f>
        <v>AAPL</v>
      </c>
      <c r="B7" s="17">
        <v>21</v>
      </c>
      <c r="C7" s="6">
        <v>0.079</v>
      </c>
      <c r="D7" s="10">
        <v>6477</v>
      </c>
      <c r="E7" s="6">
        <v>0.148</v>
      </c>
      <c r="F7" s="15">
        <v>21</v>
      </c>
      <c r="G7" s="6">
        <v>0</v>
      </c>
      <c r="H7" s="15">
        <v>83.3</v>
      </c>
      <c r="I7" s="6">
        <v>0.194</v>
      </c>
      <c r="J7" s="7" t="s">
        <v>294</v>
      </c>
      <c r="K7" s="13">
        <v>98</v>
      </c>
      <c r="L7" t="s">
        <v>164</v>
      </c>
      <c r="M7" s="7" t="str">
        <f>VLOOKUP(L7,mapSector,2,FALSE)</f>
        <v>Technology</v>
      </c>
      <c r="N7" s="10">
        <v>63300</v>
      </c>
      <c r="O7" s="33" t="str">
        <f>VLOOKUP(N7,mapCompanySize,3,TRUE)</f>
        <v>L</v>
      </c>
    </row>
    <row r="8" spans="1:15" ht="12.75">
      <c r="A8" s="32" t="str">
        <f>HYPERLINK("http://www.manifestinvesting.com/auth/quality_return.pl?rm=show_qer&amp;symbol=SYK","SYK")</f>
        <v>SYK</v>
      </c>
      <c r="B8" s="17">
        <v>129.605</v>
      </c>
      <c r="C8" s="6">
        <v>0.081</v>
      </c>
      <c r="D8" s="10">
        <v>6660</v>
      </c>
      <c r="E8" s="6">
        <v>0.08</v>
      </c>
      <c r="F8" s="15">
        <v>20</v>
      </c>
      <c r="G8" s="6">
        <v>0.007</v>
      </c>
      <c r="H8" s="15">
        <v>78.9</v>
      </c>
      <c r="I8" s="6">
        <v>0.176</v>
      </c>
      <c r="J8" s="7" t="s">
        <v>248</v>
      </c>
      <c r="K8" s="13">
        <v>99</v>
      </c>
      <c r="L8" t="s">
        <v>53</v>
      </c>
      <c r="M8" s="7" t="str">
        <f>VLOOKUP(L8,mapSector,2,FALSE)</f>
        <v>Healthcare</v>
      </c>
      <c r="N8" s="10">
        <v>7224</v>
      </c>
      <c r="O8" s="33" t="str">
        <f>VLOOKUP(N8,mapCompanySize,3,TRUE)</f>
        <v>L</v>
      </c>
    </row>
    <row r="9" spans="1:15" ht="12.75">
      <c r="A9" s="32" t="str">
        <f>HYPERLINK("http://www.manifestinvesting.com/auth/quality_return.pl?rm=show_qer&amp;symbol=MSFT","MSFT")</f>
        <v>MSFT</v>
      </c>
      <c r="B9" s="17">
        <v>231.338</v>
      </c>
      <c r="C9" s="6">
        <v>0.073</v>
      </c>
      <c r="D9" s="10">
        <v>5977</v>
      </c>
      <c r="E9" s="6">
        <v>0.08</v>
      </c>
      <c r="F9" s="15">
        <v>14</v>
      </c>
      <c r="G9" s="6">
        <v>0.019</v>
      </c>
      <c r="H9" s="15">
        <v>82.2</v>
      </c>
      <c r="I9" s="6">
        <v>0.175</v>
      </c>
      <c r="J9" s="7" t="s">
        <v>238</v>
      </c>
      <c r="K9" s="13">
        <v>95.7</v>
      </c>
      <c r="L9" t="s">
        <v>188</v>
      </c>
      <c r="M9" s="7" t="str">
        <f>VLOOKUP(L9,mapSector,2,FALSE)</f>
        <v>Technology</v>
      </c>
      <c r="N9" s="10">
        <v>65737</v>
      </c>
      <c r="O9" s="33" t="str">
        <f>VLOOKUP(N9,mapCompanySize,3,TRUE)</f>
        <v>L</v>
      </c>
    </row>
    <row r="10" spans="1:15" ht="12.75">
      <c r="A10" s="32" t="str">
        <f>HYPERLINK("http://www.manifestinvesting.com/auth/quality_return.pl?rm=show_qer&amp;symbol=QSII","QSII")</f>
        <v>QSII</v>
      </c>
      <c r="B10" s="17">
        <v>64.296</v>
      </c>
      <c r="C10" s="6">
        <v>0.049</v>
      </c>
      <c r="D10" s="10">
        <v>4013</v>
      </c>
      <c r="E10" s="6">
        <v>0.2</v>
      </c>
      <c r="F10" s="15">
        <v>24</v>
      </c>
      <c r="G10" s="6">
        <v>0.025</v>
      </c>
      <c r="H10" s="15">
        <v>76.7</v>
      </c>
      <c r="I10" s="6">
        <v>0.164</v>
      </c>
      <c r="J10" s="7" t="s">
        <v>256</v>
      </c>
      <c r="K10" s="13">
        <v>93</v>
      </c>
      <c r="L10" t="s">
        <v>117</v>
      </c>
      <c r="M10" s="7" t="str">
        <f>VLOOKUP(L10,mapSector,2,FALSE)</f>
        <v>Healthcare</v>
      </c>
      <c r="N10" s="10">
        <v>308.1</v>
      </c>
      <c r="O10" s="33" t="str">
        <f>VLOOKUP(N10,mapCompanySize,3,TRUE)</f>
        <v>S</v>
      </c>
    </row>
    <row r="11" spans="1:15" ht="12.75">
      <c r="A11" s="32" t="str">
        <f>HYPERLINK("http://www.manifestinvesting.com/auth/quality_return.pl?rm=show_qer&amp;symbol=MA","MA")</f>
        <v>MA</v>
      </c>
      <c r="B11" s="17">
        <v>10.686</v>
      </c>
      <c r="C11" s="6">
        <v>0.031</v>
      </c>
      <c r="D11" s="10">
        <v>2591</v>
      </c>
      <c r="E11" s="6">
        <v>0.28</v>
      </c>
      <c r="F11" s="15">
        <v>19</v>
      </c>
      <c r="G11" s="6">
        <v>0.002</v>
      </c>
      <c r="H11" s="15">
        <v>81.4</v>
      </c>
      <c r="I11" s="6">
        <v>0.164</v>
      </c>
      <c r="J11" s="7" t="s">
        <v>296</v>
      </c>
      <c r="K11" s="13">
        <v>97</v>
      </c>
      <c r="L11" t="s">
        <v>196</v>
      </c>
      <c r="M11" s="7" t="str">
        <f>VLOOKUP(L11,mapSector,2,FALSE)</f>
        <v>Financial</v>
      </c>
      <c r="N11" s="10">
        <v>40.55</v>
      </c>
      <c r="O11" s="33" t="str">
        <f>VLOOKUP(N11,mapCompanySize,3,TRUE)</f>
        <v>S</v>
      </c>
    </row>
    <row r="12" spans="1:15" ht="12.75">
      <c r="A12" s="32" t="str">
        <f>HYPERLINK("http://www.manifestinvesting.com/auth/quality_return.pl?rm=show_qer&amp;symbol=AFL","AFL")</f>
        <v>AFL</v>
      </c>
      <c r="B12" s="17">
        <v>95.537</v>
      </c>
      <c r="C12" s="6">
        <v>0.063</v>
      </c>
      <c r="D12" s="10">
        <v>5223</v>
      </c>
      <c r="E12" s="6">
        <v>0.131</v>
      </c>
      <c r="F12" s="15">
        <v>11</v>
      </c>
      <c r="G12" s="6">
        <v>0.021</v>
      </c>
      <c r="H12" s="15">
        <v>85.3</v>
      </c>
      <c r="I12" s="6">
        <v>0.152</v>
      </c>
      <c r="J12" s="7" t="s">
        <v>266</v>
      </c>
      <c r="K12" s="13">
        <v>75</v>
      </c>
      <c r="L12" t="s">
        <v>102</v>
      </c>
      <c r="M12" s="7" t="str">
        <f>VLOOKUP(L12,mapSector,2,FALSE)</f>
        <v>Financial</v>
      </c>
      <c r="N12" s="10">
        <v>22.75</v>
      </c>
      <c r="O12" s="33" t="str">
        <f>VLOOKUP(N12,mapCompanySize,3,TRUE)</f>
        <v>S</v>
      </c>
    </row>
    <row r="13" spans="1:15" ht="12.75">
      <c r="A13" s="32" t="str">
        <f>HYPERLINK("http://www.manifestinvesting.com/auth/quality_return.pl?rm=show_qer&amp;symbol=CSCO","CSCO")</f>
        <v>CSCO</v>
      </c>
      <c r="B13" s="17">
        <v>227</v>
      </c>
      <c r="C13" s="6">
        <v>0.054</v>
      </c>
      <c r="D13" s="10">
        <v>4451</v>
      </c>
      <c r="E13" s="6">
        <v>0.102</v>
      </c>
      <c r="F13" s="15">
        <v>16</v>
      </c>
      <c r="G13" s="6">
        <v>0</v>
      </c>
      <c r="H13" s="15">
        <v>77</v>
      </c>
      <c r="I13" s="6">
        <v>0.148</v>
      </c>
      <c r="J13" s="7" t="s">
        <v>250</v>
      </c>
      <c r="K13" s="13">
        <v>92</v>
      </c>
      <c r="L13" t="s">
        <v>161</v>
      </c>
      <c r="M13" s="7" t="str">
        <f>VLOOKUP(L13,mapSector,2,FALSE)</f>
        <v>Telecomm</v>
      </c>
      <c r="N13" s="10">
        <v>41819</v>
      </c>
      <c r="O13" s="33" t="str">
        <f>VLOOKUP(N13,mapCompanySize,3,TRUE)</f>
        <v>L</v>
      </c>
    </row>
    <row r="14" spans="1:15" ht="12.75">
      <c r="A14" s="32" t="str">
        <f>HYPERLINK("http://www.manifestinvesting.com/auth/quality_return.pl?rm=show_qer&amp;symbol=TEVA","TEVA")</f>
        <v>TEVA</v>
      </c>
      <c r="B14" s="17">
        <v>115.632</v>
      </c>
      <c r="C14" s="6">
        <v>0.071</v>
      </c>
      <c r="D14" s="10">
        <v>5842</v>
      </c>
      <c r="E14" s="6">
        <v>0.09</v>
      </c>
      <c r="F14" s="15">
        <v>13</v>
      </c>
      <c r="G14" s="6">
        <v>0.008</v>
      </c>
      <c r="H14" s="15">
        <v>79.5</v>
      </c>
      <c r="I14" s="6">
        <v>0.141</v>
      </c>
      <c r="J14" s="7" t="s">
        <v>240</v>
      </c>
      <c r="K14" s="13">
        <v>88</v>
      </c>
      <c r="L14" t="s">
        <v>115</v>
      </c>
      <c r="M14" s="7" t="str">
        <f>VLOOKUP(L14,mapSector,2,FALSE)</f>
        <v>Healthcare</v>
      </c>
      <c r="N14" s="10">
        <v>15455</v>
      </c>
      <c r="O14" s="33" t="str">
        <f>VLOOKUP(N14,mapCompanySize,3,TRUE)</f>
        <v>L</v>
      </c>
    </row>
    <row r="15" spans="1:15" ht="12.75">
      <c r="A15" s="32" t="str">
        <f>HYPERLINK("http://www.manifestinvesting.com/auth/quality_return.pl?rm=show_qer&amp;symbol=SYY","SYY")</f>
        <v>SYY</v>
      </c>
      <c r="B15" s="17">
        <v>59.437</v>
      </c>
      <c r="C15" s="6">
        <v>0.021</v>
      </c>
      <c r="D15" s="10">
        <v>1723</v>
      </c>
      <c r="E15" s="6">
        <v>0.074</v>
      </c>
      <c r="F15" s="15">
        <v>16</v>
      </c>
      <c r="G15" s="6">
        <v>0.03</v>
      </c>
      <c r="H15" s="15">
        <v>80.1</v>
      </c>
      <c r="I15" s="6">
        <v>0.135</v>
      </c>
      <c r="J15" s="7" t="s">
        <v>263</v>
      </c>
      <c r="K15" s="13">
        <v>98</v>
      </c>
      <c r="L15" t="s">
        <v>289</v>
      </c>
      <c r="M15" s="7" t="e">
        <f>VLOOKUP(L15,mapSector,2,FALSE)</f>
        <v>#N/A</v>
      </c>
      <c r="N15" s="10">
        <v>37612</v>
      </c>
      <c r="O15" s="33" t="str">
        <f>VLOOKUP(N15,mapCompanySize,3,TRUE)</f>
        <v>L</v>
      </c>
    </row>
    <row r="16" spans="1:15" ht="12.75">
      <c r="A16" s="32" t="str">
        <f>HYPERLINK("http://www.manifestinvesting.com/auth/quality_return.pl?rm=show_qer&amp;symbol=BWLD","BWLD")</f>
        <v>BWLD</v>
      </c>
      <c r="B16" s="17">
        <v>139.138</v>
      </c>
      <c r="C16" s="6">
        <v>0.081</v>
      </c>
      <c r="D16" s="10">
        <v>6641</v>
      </c>
      <c r="E16" s="6">
        <v>0.143</v>
      </c>
      <c r="F16" s="15">
        <v>21</v>
      </c>
      <c r="G16" s="6">
        <v>0</v>
      </c>
      <c r="H16" s="15">
        <v>88.4</v>
      </c>
      <c r="I16" s="6">
        <v>0.119</v>
      </c>
      <c r="J16" s="7" t="s">
        <v>290</v>
      </c>
      <c r="K16" s="13">
        <v>95</v>
      </c>
      <c r="L16" t="s">
        <v>79</v>
      </c>
      <c r="M16" s="7" t="str">
        <f>VLOOKUP(L16,mapSector,2,FALSE)</f>
        <v>Discretionary</v>
      </c>
      <c r="N16" s="10">
        <v>594</v>
      </c>
      <c r="O16" s="33" t="str">
        <f>VLOOKUP(N16,mapCompanySize,3,TRUE)</f>
        <v>M</v>
      </c>
    </row>
    <row r="17" spans="1:15" ht="12.75">
      <c r="A17" s="32" t="str">
        <f>HYPERLINK("http://www.manifestinvesting.com/auth/quality_return.pl?rm=show_qer&amp;symbol=INFY","INFY")</f>
        <v>INFY</v>
      </c>
      <c r="B17" s="17">
        <v>73.653</v>
      </c>
      <c r="C17" s="6">
        <v>0.059</v>
      </c>
      <c r="D17" s="10">
        <v>4886</v>
      </c>
      <c r="E17" s="6">
        <v>0.134</v>
      </c>
      <c r="F17" s="15">
        <v>22</v>
      </c>
      <c r="G17" s="6">
        <v>0.01</v>
      </c>
      <c r="H17" s="15">
        <v>90.7</v>
      </c>
      <c r="I17" s="6">
        <v>0.116</v>
      </c>
      <c r="J17" s="7" t="s">
        <v>242</v>
      </c>
      <c r="K17" s="13">
        <v>99.4</v>
      </c>
      <c r="L17" t="s">
        <v>187</v>
      </c>
      <c r="M17" s="7" t="str">
        <f>VLOOKUP(L17,mapSector,2,FALSE)</f>
        <v>Technology</v>
      </c>
      <c r="N17" s="10">
        <v>5710</v>
      </c>
      <c r="O17" s="33" t="str">
        <f>VLOOKUP(N17,mapCompanySize,3,TRUE)</f>
        <v>L</v>
      </c>
    </row>
    <row r="18" spans="1:15" ht="12.75">
      <c r="A18" s="32" t="str">
        <f>HYPERLINK("http://www.manifestinvesting.com/auth/quality_return.pl?rm=show_qer&amp;symbol=WAG","WAG")</f>
        <v>WAG</v>
      </c>
      <c r="B18" s="17">
        <v>159.12</v>
      </c>
      <c r="C18" s="6">
        <v>0.067</v>
      </c>
      <c r="D18" s="10">
        <v>5476</v>
      </c>
      <c r="E18" s="6">
        <v>0.063</v>
      </c>
      <c r="F18" s="15">
        <v>15</v>
      </c>
      <c r="G18" s="6">
        <v>0.019</v>
      </c>
      <c r="H18" s="15">
        <v>76.1</v>
      </c>
      <c r="I18" s="6">
        <v>0.113</v>
      </c>
      <c r="J18" s="7" t="s">
        <v>231</v>
      </c>
      <c r="K18" s="13">
        <v>98</v>
      </c>
      <c r="L18" t="s">
        <v>130</v>
      </c>
      <c r="M18" s="7" t="str">
        <f>VLOOKUP(L18,mapSector,2,FALSE)</f>
        <v>Staples</v>
      </c>
      <c r="N18" s="10">
        <v>67440</v>
      </c>
      <c r="O18" s="33" t="str">
        <f>VLOOKUP(N18,mapCompanySize,3,TRUE)</f>
        <v>L</v>
      </c>
    </row>
    <row r="19" spans="1:15" ht="12.75">
      <c r="A19" s="32" t="str">
        <f>HYPERLINK("http://www.manifestinvesting.com/auth/quality_return.pl?rm=show_qer&amp;symbol=DHR","DHR")</f>
        <v>DHR</v>
      </c>
      <c r="B19" s="17">
        <v>72.348</v>
      </c>
      <c r="C19" s="6">
        <v>0.038</v>
      </c>
      <c r="D19" s="10">
        <v>3127</v>
      </c>
      <c r="E19" s="6">
        <v>0.09</v>
      </c>
      <c r="F19" s="15">
        <v>18</v>
      </c>
      <c r="G19" s="6">
        <v>0.002</v>
      </c>
      <c r="H19" s="15">
        <v>78.4</v>
      </c>
      <c r="I19" s="6">
        <v>0.108</v>
      </c>
      <c r="J19" s="7" t="s">
        <v>246</v>
      </c>
      <c r="K19" s="13">
        <v>94</v>
      </c>
      <c r="L19" t="s">
        <v>51</v>
      </c>
      <c r="M19" s="7" t="str">
        <f>VLOOKUP(L19,mapSector,2,FALSE)</f>
        <v>Industrial</v>
      </c>
      <c r="N19" s="10">
        <v>12685</v>
      </c>
      <c r="O19" s="33" t="str">
        <f>VLOOKUP(N19,mapCompanySize,3,TRUE)</f>
        <v>L</v>
      </c>
    </row>
    <row r="20" spans="1:15" ht="12.75">
      <c r="A20" s="32" t="str">
        <f>HYPERLINK("http://www.manifestinvesting.com/auth/quality_return.pl?rm=show_qer&amp;symbol=ECL","ECL")</f>
        <v>ECL</v>
      </c>
      <c r="B20" s="17">
        <v>41.108</v>
      </c>
      <c r="C20" s="6">
        <v>0.024</v>
      </c>
      <c r="D20" s="10">
        <v>2009</v>
      </c>
      <c r="E20" s="6">
        <v>0.075</v>
      </c>
      <c r="F20" s="15">
        <v>20</v>
      </c>
      <c r="G20" s="6">
        <v>0.014</v>
      </c>
      <c r="H20" s="15">
        <v>76.1</v>
      </c>
      <c r="I20" s="6">
        <v>0.107</v>
      </c>
      <c r="J20" s="7" t="s">
        <v>254</v>
      </c>
      <c r="K20" s="13">
        <v>94</v>
      </c>
      <c r="L20" t="s">
        <v>146</v>
      </c>
      <c r="M20" s="7" t="str">
        <f>VLOOKUP(L20,mapSector,2,FALSE)</f>
        <v>Materials</v>
      </c>
      <c r="N20" s="10">
        <v>6142</v>
      </c>
      <c r="O20" s="33" t="str">
        <f>VLOOKUP(N20,mapCompanySize,3,TRUE)</f>
        <v>L</v>
      </c>
    </row>
    <row r="21" spans="1:15" ht="12.75">
      <c r="A21" s="32" t="str">
        <f>HYPERLINK("http://www.manifestinvesting.com/auth/quality_return.pl?rm=show_qer&amp;symbol=AFAM","AFAM")</f>
        <v>AFAM</v>
      </c>
      <c r="B21" s="17">
        <v>76</v>
      </c>
      <c r="C21" s="6">
        <v>0.032</v>
      </c>
      <c r="D21" s="10">
        <v>2601</v>
      </c>
      <c r="E21" s="6">
        <v>0.1</v>
      </c>
      <c r="F21" s="15">
        <v>10</v>
      </c>
      <c r="G21" s="6">
        <v>0</v>
      </c>
      <c r="H21" s="15">
        <v>76.8</v>
      </c>
      <c r="I21" s="6">
        <v>0.056</v>
      </c>
      <c r="J21" s="7" t="s">
        <v>261</v>
      </c>
      <c r="K21" s="13">
        <v>79</v>
      </c>
      <c r="L21" t="s">
        <v>119</v>
      </c>
      <c r="M21" s="7" t="str">
        <f>VLOOKUP(L21,mapSector,2,FALSE)</f>
        <v>Healthcare</v>
      </c>
      <c r="N21" s="10">
        <v>321.7</v>
      </c>
      <c r="O21" s="33" t="str">
        <f>VLOOKUP(N21,mapCompanySize,3,TRUE)</f>
        <v>S</v>
      </c>
    </row>
    <row r="22" spans="1:15" ht="12.75">
      <c r="A22" s="32" t="str">
        <f>HYPERLINK("http://www.manifestinvesting.com/auth/quality_return.pl?rm=show_qer&amp;symbol=PH","PH")</f>
        <v>PH</v>
      </c>
      <c r="B22" s="17">
        <v>52.18</v>
      </c>
      <c r="C22" s="6">
        <v>0.051</v>
      </c>
      <c r="D22" s="10">
        <v>4165</v>
      </c>
      <c r="E22" s="6">
        <v>0.088</v>
      </c>
      <c r="F22" s="15">
        <v>14</v>
      </c>
      <c r="G22" s="6">
        <v>0.014</v>
      </c>
      <c r="H22" s="15">
        <v>60.3</v>
      </c>
      <c r="I22" s="6">
        <v>0.047</v>
      </c>
      <c r="J22" s="7" t="s">
        <v>252</v>
      </c>
      <c r="K22" s="13">
        <v>68</v>
      </c>
      <c r="L22" t="s">
        <v>51</v>
      </c>
      <c r="M22" s="7" t="str">
        <f>VLOOKUP(L22,mapSector,2,FALSE)</f>
        <v>Industrial</v>
      </c>
      <c r="N22" s="10">
        <v>10336</v>
      </c>
      <c r="O22" s="33" t="str">
        <f>VLOOKUP(N22,mapCompanySize,3,TRUE)</f>
        <v>L</v>
      </c>
    </row>
    <row r="23" spans="1:15" ht="12.75">
      <c r="A23" s="32" t="str">
        <f>HYPERLINK("http://www.manifestinvesting.com/auth/quality_return.pl?rm=show_qer&amp;symbol=FDS","FDS")</f>
        <v>FDS</v>
      </c>
      <c r="B23" s="17">
        <v>72.561</v>
      </c>
      <c r="C23" s="6">
        <v>0.078</v>
      </c>
      <c r="D23" s="10">
        <v>6454</v>
      </c>
      <c r="E23" s="6">
        <v>0.096</v>
      </c>
      <c r="F23" s="15">
        <v>20</v>
      </c>
      <c r="G23" s="6">
        <v>0.011</v>
      </c>
      <c r="H23" s="15">
        <v>80.4</v>
      </c>
      <c r="I23" s="6">
        <v>0.045</v>
      </c>
      <c r="J23" s="7" t="s">
        <v>244</v>
      </c>
      <c r="K23" s="13">
        <v>99</v>
      </c>
      <c r="L23" t="s">
        <v>168</v>
      </c>
      <c r="M23" s="7" t="str">
        <f>VLOOKUP(L23,mapSector,2,FALSE)</f>
        <v>Industrial</v>
      </c>
      <c r="N23" s="10">
        <v>640</v>
      </c>
      <c r="O23" s="33" t="str">
        <f>VLOOKUP(N23,mapCompanySize,3,TRUE)</f>
        <v>M</v>
      </c>
    </row>
    <row r="24" spans="1:13" ht="12.75">
      <c r="A24" t="s">
        <v>298</v>
      </c>
      <c r="C24" s="6">
        <v>0.048</v>
      </c>
      <c r="D24" s="10">
        <v>3938</v>
      </c>
      <c r="G24" s="6">
        <v>0.001</v>
      </c>
      <c r="I24" s="6">
        <v>0.001</v>
      </c>
      <c r="J24" s="7" t="s">
        <v>18</v>
      </c>
      <c r="M24" s="7" t="s">
        <v>18</v>
      </c>
    </row>
    <row r="25" spans="1:10" ht="12.75">
      <c r="A25" s="32"/>
      <c r="C25" s="6">
        <v>1</v>
      </c>
      <c r="D25" s="10">
        <v>82261</v>
      </c>
      <c r="E25" s="6">
        <v>0.114</v>
      </c>
      <c r="F25" s="15">
        <v>17.5</v>
      </c>
      <c r="G25" s="6">
        <v>0.01</v>
      </c>
      <c r="H25" s="15">
        <v>80.2</v>
      </c>
      <c r="I25" s="6">
        <v>0.124</v>
      </c>
      <c r="J25" s="7" t="s">
        <v>19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conditionalFormatting sqref="I7:I25">
    <cfRule type="cellIs" priority="1" dxfId="0" operator="greaterThan" stopIfTrue="1">
      <formula>MIPARmax</formula>
    </cfRule>
    <cfRule type="cellIs" priority="2" dxfId="1" operator="greaterThanOrEqual" stopIfTrue="1">
      <formula>MIPARmin</formula>
    </cfRule>
  </conditionalFormatting>
  <conditionalFormatting sqref="H7:H25">
    <cfRule type="cellIs" priority="3" dxfId="2" operator="greaterThan" stopIfTrue="1">
      <formula>65</formula>
    </cfRule>
    <cfRule type="cellIs" priority="4" dxfId="3" operator="greaterThanOrEqual" stopIfTrue="1">
      <formula>55</formula>
    </cfRule>
    <cfRule type="cellIs" priority="5" dxfId="4" operator="lessThan" stopIfTrue="1">
      <formula>35</formula>
    </cfRule>
  </conditionalFormatting>
  <conditionalFormatting sqref="C7:C25">
    <cfRule type="cellIs" priority="6" dxfId="5" operator="greaterThan" stopIfTrue="1">
      <formula>MaxPos</formula>
    </cfRule>
    <cfRule type="cellIs" priority="7" dxfId="6" operator="greaterThanOrEqual" stopIfTrue="1">
      <formula>MinPos</formula>
    </cfRule>
  </conditionalFormatting>
  <printOptions/>
  <pageMargins left="0.5" right="0.5" top="0.5" bottom="0.5" header="0.5" footer="0.5"/>
  <pageSetup fitToHeight="1" fitToWidth="1" horizontalDpi="600" verticalDpi="600" orientation="landscape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55"/>
  <sheetViews>
    <sheetView workbookViewId="0" topLeftCell="A1">
      <selection activeCell="E1" sqref="E1"/>
    </sheetView>
  </sheetViews>
  <sheetFormatPr defaultColWidth="9.140625" defaultRowHeight="12.75"/>
  <cols>
    <col min="1" max="1" width="9.421875" style="0" bestFit="1" customWidth="1"/>
    <col min="2" max="2" width="6.28125" style="0" bestFit="1" customWidth="1"/>
    <col min="3" max="3" width="7.28125" style="0" bestFit="1" customWidth="1"/>
    <col min="4" max="4" width="11.8515625" style="0" bestFit="1" customWidth="1"/>
    <col min="5" max="5" width="33.421875" style="0" bestFit="1" customWidth="1"/>
    <col min="6" max="6" width="11.8515625" style="0" customWidth="1"/>
  </cols>
  <sheetData>
    <row r="1" spans="3:6" ht="12.75">
      <c r="C1" s="25" t="s">
        <v>183</v>
      </c>
      <c r="D1" s="24"/>
      <c r="E1" s="26" t="s">
        <v>44</v>
      </c>
      <c r="F1" s="26" t="s">
        <v>177</v>
      </c>
    </row>
    <row r="2" spans="3:6" ht="12.75">
      <c r="C2" s="6">
        <f ca="1">SUMIF(OFFSET(Portfolio,0,$C$18,,1),D2,OFFSET(Portfolio,0,$C$16,,1))/$C$15</f>
        <v>0.23240207163177476</v>
      </c>
      <c r="D2" t="s">
        <v>59</v>
      </c>
      <c r="E2" t="s">
        <v>178</v>
      </c>
      <c r="F2" t="s">
        <v>178</v>
      </c>
    </row>
    <row r="3" spans="3:6" ht="12.75">
      <c r="C3" s="6">
        <f ca="1">SUMIF(OFFSET(Portfolio,0,$C$18,,1),D3,OFFSET(Portfolio,0,$C$16,,1))/$C$15</f>
        <v>0.21081041651469837</v>
      </c>
      <c r="D3" t="s">
        <v>55</v>
      </c>
      <c r="E3" t="s">
        <v>63</v>
      </c>
      <c r="F3" t="s">
        <v>58</v>
      </c>
    </row>
    <row r="4" spans="3:6" ht="12.75">
      <c r="C4" s="6">
        <f ca="1">SUMIF(OFFSET(Portfolio,0,$C$18,,1),D4,OFFSET(Portfolio,0,$C$16,,1))/$C$15</f>
        <v>0.1671164928149391</v>
      </c>
      <c r="D4" t="s">
        <v>180</v>
      </c>
      <c r="E4" t="s">
        <v>64</v>
      </c>
      <c r="F4" t="s">
        <v>58</v>
      </c>
    </row>
    <row r="5" spans="3:6" ht="12.75">
      <c r="C5" s="6">
        <f ca="1">SUMIF(OFFSET(Portfolio,0,$C$18,,1),D5,OFFSET(Portfolio,0,$C$16,,1))/$C$15</f>
        <v>0.09499841952974931</v>
      </c>
      <c r="D5" t="s">
        <v>179</v>
      </c>
      <c r="E5" t="s">
        <v>65</v>
      </c>
      <c r="F5" t="s">
        <v>58</v>
      </c>
    </row>
    <row r="6" spans="3:6" ht="12.75">
      <c r="C6" s="6">
        <f ca="1">SUMIF(OFFSET(Portfolio,0,$C$18,,1),D6,OFFSET(Portfolio,0,$C$16,,1))/$C$15</f>
        <v>0.08073771488316678</v>
      </c>
      <c r="D6" t="s">
        <v>58</v>
      </c>
      <c r="E6" t="s">
        <v>66</v>
      </c>
      <c r="F6" t="s">
        <v>58</v>
      </c>
    </row>
    <row r="7" spans="3:6" ht="12.75">
      <c r="C7" s="6">
        <f ca="1">SUMIF(OFFSET(Portfolio,0,$C$18,,1),D7,OFFSET(Portfolio,0,$C$16,,1))/$C$15</f>
        <v>0.06657426994431882</v>
      </c>
      <c r="D7" t="s">
        <v>56</v>
      </c>
      <c r="E7" t="s">
        <v>67</v>
      </c>
      <c r="F7" t="s">
        <v>58</v>
      </c>
    </row>
    <row r="8" spans="3:6" ht="12.75">
      <c r="C8" s="6">
        <f ca="1">SUMIF(OFFSET(Portfolio,0,$C$18,,1),D8,OFFSET(Portfolio,0,$C$16,,1))/$C$15</f>
        <v>0.054112869890825976</v>
      </c>
      <c r="D8" t="s">
        <v>181</v>
      </c>
      <c r="E8" t="s">
        <v>68</v>
      </c>
      <c r="F8" t="s">
        <v>58</v>
      </c>
    </row>
    <row r="9" spans="3:6" ht="12.75">
      <c r="C9" s="6">
        <f ca="1">SUMIF(OFFSET(Portfolio,0,$C$18,,1),D9,OFFSET(Portfolio,0,$C$16,,1))/$C$15</f>
        <v>0.04787609113234615</v>
      </c>
      <c r="D9" t="s">
        <v>18</v>
      </c>
      <c r="E9" t="s">
        <v>69</v>
      </c>
      <c r="F9" t="s">
        <v>58</v>
      </c>
    </row>
    <row r="10" spans="3:6" ht="12.75">
      <c r="C10" s="6">
        <f ca="1">SUMIF(OFFSET(Portfolio,0,$C$18,,1),D10,OFFSET(Portfolio,0,$C$16,,1))/$C$15</f>
        <v>0.024424344104845966</v>
      </c>
      <c r="D10" t="s">
        <v>57</v>
      </c>
      <c r="E10" t="s">
        <v>167</v>
      </c>
      <c r="F10" t="s">
        <v>58</v>
      </c>
    </row>
    <row r="11" spans="3:6" ht="12.75">
      <c r="C11" s="6">
        <f ca="1">SUMIF(OFFSET(Portfolio,0,$C$18,,1),D11,OFFSET(Portfolio,0,$C$16,,1))/$C$15</f>
        <v>0</v>
      </c>
      <c r="D11" t="s">
        <v>178</v>
      </c>
      <c r="E11" t="s">
        <v>70</v>
      </c>
      <c r="F11" t="s">
        <v>58</v>
      </c>
    </row>
    <row r="12" spans="3:6" ht="12.75">
      <c r="C12" s="6">
        <f ca="1">SUMIF(OFFSET(Portfolio,0,$C$18,,1),D12,OFFSET(Portfolio,0,$C$16,,1))/$C$15</f>
        <v>0</v>
      </c>
      <c r="D12" t="s">
        <v>60</v>
      </c>
      <c r="E12" t="s">
        <v>71</v>
      </c>
      <c r="F12" t="s">
        <v>58</v>
      </c>
    </row>
    <row r="13" spans="3:6" ht="12.75">
      <c r="C13" s="6">
        <f ca="1">SUMIF(OFFSET(Portfolio,0,$C$18,,1),D13,OFFSET(Portfolio,0,$C$16,,1))/$C$15</f>
        <v>0</v>
      </c>
      <c r="D13" t="s">
        <v>61</v>
      </c>
      <c r="E13" t="s">
        <v>229</v>
      </c>
      <c r="F13" t="s">
        <v>58</v>
      </c>
    </row>
    <row r="14" spans="3:6" ht="12.75">
      <c r="C14" s="28"/>
      <c r="E14" t="s">
        <v>72</v>
      </c>
      <c r="F14" t="s">
        <v>58</v>
      </c>
    </row>
    <row r="15" spans="3:6" ht="12.75">
      <c r="C15" s="28">
        <f ca="1">SUM(OFFSET(Portfolio,0,$C$16,ROWS(Portfolio)-1,1))</f>
        <v>82254</v>
      </c>
      <c r="D15" s="29"/>
      <c r="E15" t="s">
        <v>52</v>
      </c>
      <c r="F15" t="s">
        <v>58</v>
      </c>
    </row>
    <row r="16" spans="3:6" ht="12.75">
      <c r="C16" s="29">
        <f ca="1">MATCH(D16,OFFSET(Portfolio,0,0,1,),0)-1</f>
        <v>3</v>
      </c>
      <c r="D16" s="29" t="s">
        <v>13</v>
      </c>
      <c r="E16" t="s">
        <v>228</v>
      </c>
      <c r="F16" t="s">
        <v>58</v>
      </c>
    </row>
    <row r="17" spans="3:6" ht="12.75">
      <c r="C17" s="29">
        <f ca="1">MATCH(D17,OFFSET(Portfolio,0,0,1,),0)-1</f>
        <v>4</v>
      </c>
      <c r="D17" s="29" t="s">
        <v>14</v>
      </c>
      <c r="E17" t="s">
        <v>74</v>
      </c>
      <c r="F17" t="s">
        <v>58</v>
      </c>
    </row>
    <row r="18" spans="3:6" ht="12.75">
      <c r="C18" s="29">
        <f ca="1">MATCH(D18,OFFSET(Portfolio,0,0,1,),0)-1</f>
        <v>12</v>
      </c>
      <c r="D18" s="29" t="s">
        <v>177</v>
      </c>
      <c r="E18" t="s">
        <v>75</v>
      </c>
      <c r="F18" t="s">
        <v>58</v>
      </c>
    </row>
    <row r="19" spans="5:6" ht="12.75">
      <c r="E19" t="s">
        <v>77</v>
      </c>
      <c r="F19" t="s">
        <v>58</v>
      </c>
    </row>
    <row r="20" spans="2:6" ht="12.75">
      <c r="B20" s="25" t="s">
        <v>182</v>
      </c>
      <c r="C20" s="25"/>
      <c r="D20" s="24"/>
      <c r="E20" t="s">
        <v>78</v>
      </c>
      <c r="F20" t="s">
        <v>58</v>
      </c>
    </row>
    <row r="21" spans="1:6" ht="12.75">
      <c r="A21" s="29" t="str">
        <f>TEXT(D21,"0%")&amp;" &amp; up"</f>
        <v>15% &amp; up</v>
      </c>
      <c r="B21" s="6">
        <f>C21-C20</f>
        <v>0.08028788873489436</v>
      </c>
      <c r="C21" s="6">
        <f ca="1">SUMIF(OFFSET(Portfolio,0,$C$17,ROWS(Portfolio)-1,1),"&gt;="&amp;D21,OFFSET(Portfolio,0,$C$16,ROWS(Portfolio)-1,1))/$C$15</f>
        <v>0.08028788873489436</v>
      </c>
      <c r="D21" s="31">
        <v>0.15</v>
      </c>
      <c r="E21" t="s">
        <v>79</v>
      </c>
      <c r="F21" t="s">
        <v>58</v>
      </c>
    </row>
    <row r="22" spans="1:6" ht="12.75">
      <c r="A22" s="29" t="str">
        <f>TEXT(D22,"0%")&amp;" to "&amp;TEXT(D21,"0%")</f>
        <v>12% to 15%</v>
      </c>
      <c r="B22" s="6">
        <f>C22-C21</f>
        <v>0.28238140394388117</v>
      </c>
      <c r="C22" s="6">
        <f ca="1">SUMIF(OFFSET(Portfolio,0,$C$17,ROWS(Portfolio)-1,1),"&gt;="&amp;D22,OFFSET(Portfolio,0,$C$16,ROWS(Portfolio)-1,1))/$C$15</f>
        <v>0.3626692926787755</v>
      </c>
      <c r="D22" s="31">
        <v>0.12</v>
      </c>
      <c r="E22" t="s">
        <v>80</v>
      </c>
      <c r="F22" t="s">
        <v>58</v>
      </c>
    </row>
    <row r="23" spans="1:6" ht="12.75">
      <c r="A23" s="29" t="str">
        <f>TEXT(D23,"0%")&amp;" to "&amp;TEXT(D22,"0%")</f>
        <v>8% to 12%</v>
      </c>
      <c r="B23" s="6">
        <f>C23-C22</f>
        <v>0.4775086925863788</v>
      </c>
      <c r="C23" s="6">
        <f ca="1">SUMIF(OFFSET(Portfolio,0,$C$17,ROWS(Portfolio)-1,1),"&gt;="&amp;D23,OFFSET(Portfolio,0,$C$16,ROWS(Portfolio)-1,1))/$C$15</f>
        <v>0.8401779852651543</v>
      </c>
      <c r="D23" s="31">
        <v>0.08</v>
      </c>
      <c r="E23" t="s">
        <v>81</v>
      </c>
      <c r="F23" t="s">
        <v>58</v>
      </c>
    </row>
    <row r="24" spans="1:6" ht="12.75">
      <c r="A24" s="29" t="str">
        <f>"below "&amp;TEXT(D23,"0%")</f>
        <v>below 8%</v>
      </c>
      <c r="B24" s="6">
        <f>C24-C23</f>
        <v>0.1598220147348457</v>
      </c>
      <c r="C24" s="6">
        <v>1</v>
      </c>
      <c r="D24" s="30"/>
      <c r="E24" t="s">
        <v>48</v>
      </c>
      <c r="F24" t="s">
        <v>58</v>
      </c>
    </row>
    <row r="25" spans="3:6" ht="12.75">
      <c r="C25" s="28"/>
      <c r="E25" t="s">
        <v>82</v>
      </c>
      <c r="F25" t="s">
        <v>58</v>
      </c>
    </row>
    <row r="26" spans="5:6" ht="12.75">
      <c r="E26" t="s">
        <v>83</v>
      </c>
      <c r="F26" t="s">
        <v>58</v>
      </c>
    </row>
    <row r="27" spans="5:6" ht="12.75">
      <c r="E27" t="s">
        <v>84</v>
      </c>
      <c r="F27" t="s">
        <v>58</v>
      </c>
    </row>
    <row r="28" spans="5:6" ht="12.75">
      <c r="E28" t="s">
        <v>49</v>
      </c>
      <c r="F28" t="s">
        <v>58</v>
      </c>
    </row>
    <row r="29" spans="5:6" ht="12.75">
      <c r="E29" t="s">
        <v>85</v>
      </c>
      <c r="F29" t="s">
        <v>58</v>
      </c>
    </row>
    <row r="30" spans="5:6" ht="12.75">
      <c r="E30" t="s">
        <v>86</v>
      </c>
      <c r="F30" t="s">
        <v>58</v>
      </c>
    </row>
    <row r="31" spans="5:6" ht="12.75">
      <c r="E31" t="s">
        <v>87</v>
      </c>
      <c r="F31" t="s">
        <v>58</v>
      </c>
    </row>
    <row r="32" spans="5:6" ht="12.75">
      <c r="E32" t="s">
        <v>88</v>
      </c>
      <c r="F32" t="s">
        <v>58</v>
      </c>
    </row>
    <row r="33" spans="5:6" ht="12.75">
      <c r="E33" t="s">
        <v>89</v>
      </c>
      <c r="F33" t="s">
        <v>58</v>
      </c>
    </row>
    <row r="34" spans="5:6" ht="12.75">
      <c r="E34" t="s">
        <v>90</v>
      </c>
      <c r="F34" t="s">
        <v>58</v>
      </c>
    </row>
    <row r="35" spans="5:6" ht="12.75">
      <c r="E35" t="s">
        <v>92</v>
      </c>
      <c r="F35" t="s">
        <v>60</v>
      </c>
    </row>
    <row r="36" spans="5:6" ht="12.75">
      <c r="E36" t="s">
        <v>93</v>
      </c>
      <c r="F36" t="s">
        <v>60</v>
      </c>
    </row>
    <row r="37" spans="5:6" ht="12.75">
      <c r="E37" t="s">
        <v>95</v>
      </c>
      <c r="F37" t="s">
        <v>60</v>
      </c>
    </row>
    <row r="38" spans="5:6" ht="12.75">
      <c r="E38" t="s">
        <v>218</v>
      </c>
      <c r="F38" t="s">
        <v>60</v>
      </c>
    </row>
    <row r="39" spans="5:6" ht="12.75">
      <c r="E39" t="s">
        <v>201</v>
      </c>
      <c r="F39" t="s">
        <v>60</v>
      </c>
    </row>
    <row r="40" spans="5:6" ht="12.75">
      <c r="E40" t="s">
        <v>219</v>
      </c>
      <c r="F40" t="s">
        <v>60</v>
      </c>
    </row>
    <row r="41" spans="5:6" ht="12.75">
      <c r="E41" t="s">
        <v>220</v>
      </c>
      <c r="F41" t="s">
        <v>60</v>
      </c>
    </row>
    <row r="42" spans="5:6" ht="12.75">
      <c r="E42" t="s">
        <v>214</v>
      </c>
      <c r="F42" t="s">
        <v>60</v>
      </c>
    </row>
    <row r="43" spans="5:6" ht="12.75">
      <c r="E43" t="s">
        <v>96</v>
      </c>
      <c r="F43" t="s">
        <v>60</v>
      </c>
    </row>
    <row r="44" spans="5:6" ht="12.75">
      <c r="E44" t="s">
        <v>150</v>
      </c>
      <c r="F44" t="s">
        <v>60</v>
      </c>
    </row>
    <row r="45" spans="5:6" ht="12.75">
      <c r="E45" t="s">
        <v>97</v>
      </c>
      <c r="F45" t="s">
        <v>60</v>
      </c>
    </row>
    <row r="46" spans="5:6" ht="12.75">
      <c r="E46" t="s">
        <v>99</v>
      </c>
      <c r="F46" t="s">
        <v>179</v>
      </c>
    </row>
    <row r="47" spans="5:6" ht="12.75">
      <c r="E47" t="s">
        <v>100</v>
      </c>
      <c r="F47" t="s">
        <v>179</v>
      </c>
    </row>
    <row r="48" spans="5:6" ht="12.75">
      <c r="E48" t="s">
        <v>101</v>
      </c>
      <c r="F48" t="s">
        <v>179</v>
      </c>
    </row>
    <row r="49" spans="5:6" ht="12.75">
      <c r="E49" t="s">
        <v>192</v>
      </c>
      <c r="F49" t="s">
        <v>179</v>
      </c>
    </row>
    <row r="50" spans="5:6" ht="12.75">
      <c r="E50" t="s">
        <v>196</v>
      </c>
      <c r="F50" t="s">
        <v>179</v>
      </c>
    </row>
    <row r="51" spans="5:6" ht="12.75">
      <c r="E51" t="s">
        <v>102</v>
      </c>
      <c r="F51" t="s">
        <v>179</v>
      </c>
    </row>
    <row r="52" spans="5:6" ht="12.75">
      <c r="E52" t="s">
        <v>200</v>
      </c>
      <c r="F52" t="s">
        <v>179</v>
      </c>
    </row>
    <row r="53" spans="5:6" ht="12.75">
      <c r="E53" t="s">
        <v>103</v>
      </c>
      <c r="F53" t="s">
        <v>179</v>
      </c>
    </row>
    <row r="54" spans="5:6" ht="12.75">
      <c r="E54" t="s">
        <v>203</v>
      </c>
      <c r="F54" t="s">
        <v>179</v>
      </c>
    </row>
    <row r="55" spans="5:6" ht="12.75">
      <c r="E55" t="s">
        <v>215</v>
      </c>
      <c r="F55" t="s">
        <v>179</v>
      </c>
    </row>
    <row r="56" spans="5:6" ht="12.75">
      <c r="E56" t="s">
        <v>104</v>
      </c>
      <c r="F56" t="s">
        <v>179</v>
      </c>
    </row>
    <row r="57" spans="5:6" ht="12.75">
      <c r="E57" t="s">
        <v>105</v>
      </c>
      <c r="F57" t="s">
        <v>179</v>
      </c>
    </row>
    <row r="58" spans="5:6" ht="12.75">
      <c r="E58" t="s">
        <v>221</v>
      </c>
      <c r="F58" t="s">
        <v>179</v>
      </c>
    </row>
    <row r="59" spans="5:6" ht="12.75">
      <c r="E59" t="s">
        <v>106</v>
      </c>
      <c r="F59" t="s">
        <v>179</v>
      </c>
    </row>
    <row r="60" spans="5:6" ht="12.75">
      <c r="E60" t="s">
        <v>107</v>
      </c>
      <c r="F60" t="s">
        <v>179</v>
      </c>
    </row>
    <row r="61" spans="5:6" ht="12.75">
      <c r="E61" t="s">
        <v>108</v>
      </c>
      <c r="F61" t="s">
        <v>179</v>
      </c>
    </row>
    <row r="62" spans="5:6" ht="12.75">
      <c r="E62" t="s">
        <v>109</v>
      </c>
      <c r="F62" t="s">
        <v>179</v>
      </c>
    </row>
    <row r="63" spans="5:6" ht="12.75">
      <c r="E63" t="s">
        <v>110</v>
      </c>
      <c r="F63" t="s">
        <v>179</v>
      </c>
    </row>
    <row r="64" spans="5:6" ht="12.75">
      <c r="E64" t="s">
        <v>111</v>
      </c>
      <c r="F64" t="s">
        <v>179</v>
      </c>
    </row>
    <row r="65" spans="5:6" ht="12.75">
      <c r="E65" t="s">
        <v>112</v>
      </c>
      <c r="F65" t="s">
        <v>179</v>
      </c>
    </row>
    <row r="66" spans="5:6" ht="12.75">
      <c r="E66" t="s">
        <v>50</v>
      </c>
      <c r="F66" t="s">
        <v>59</v>
      </c>
    </row>
    <row r="67" spans="5:6" ht="12.75">
      <c r="E67" t="s">
        <v>113</v>
      </c>
      <c r="F67" t="s">
        <v>59</v>
      </c>
    </row>
    <row r="68" spans="5:6" ht="12.75">
      <c r="E68" t="s">
        <v>114</v>
      </c>
      <c r="F68" t="s">
        <v>59</v>
      </c>
    </row>
    <row r="69" spans="5:6" ht="12.75">
      <c r="E69" t="s">
        <v>115</v>
      </c>
      <c r="F69" t="s">
        <v>59</v>
      </c>
    </row>
    <row r="70" spans="5:6" ht="12.75">
      <c r="E70" t="s">
        <v>116</v>
      </c>
      <c r="F70" t="s">
        <v>59</v>
      </c>
    </row>
    <row r="71" spans="5:6" ht="12.75">
      <c r="E71" t="s">
        <v>117</v>
      </c>
      <c r="F71" t="s">
        <v>59</v>
      </c>
    </row>
    <row r="72" spans="5:6" ht="12.75">
      <c r="E72" t="s">
        <v>118</v>
      </c>
      <c r="F72" t="s">
        <v>59</v>
      </c>
    </row>
    <row r="73" spans="5:6" ht="12.75">
      <c r="E73" t="s">
        <v>119</v>
      </c>
      <c r="F73" t="s">
        <v>59</v>
      </c>
    </row>
    <row r="74" spans="5:6" ht="12.75">
      <c r="E74" t="s">
        <v>120</v>
      </c>
      <c r="F74" t="s">
        <v>59</v>
      </c>
    </row>
    <row r="75" spans="5:6" ht="12.75">
      <c r="E75" t="s">
        <v>121</v>
      </c>
      <c r="F75" t="s">
        <v>59</v>
      </c>
    </row>
    <row r="76" spans="5:6" ht="12.75">
      <c r="E76" t="s">
        <v>122</v>
      </c>
      <c r="F76" t="s">
        <v>59</v>
      </c>
    </row>
    <row r="77" spans="5:6" ht="12.75">
      <c r="E77" t="s">
        <v>123</v>
      </c>
      <c r="F77" t="s">
        <v>59</v>
      </c>
    </row>
    <row r="78" spans="5:6" ht="12.75">
      <c r="E78" t="s">
        <v>124</v>
      </c>
      <c r="F78" t="s">
        <v>59</v>
      </c>
    </row>
    <row r="79" spans="5:6" ht="12.75">
      <c r="E79" t="s">
        <v>125</v>
      </c>
      <c r="F79" t="s">
        <v>59</v>
      </c>
    </row>
    <row r="80" spans="5:6" ht="12.75">
      <c r="E80" t="s">
        <v>126</v>
      </c>
      <c r="F80" t="s">
        <v>59</v>
      </c>
    </row>
    <row r="81" spans="5:6" ht="12.75">
      <c r="E81" t="s">
        <v>53</v>
      </c>
      <c r="F81" t="s">
        <v>59</v>
      </c>
    </row>
    <row r="82" spans="5:6" ht="12.75">
      <c r="E82" t="s">
        <v>127</v>
      </c>
      <c r="F82" t="s">
        <v>59</v>
      </c>
    </row>
    <row r="83" spans="5:6" ht="12.75">
      <c r="E83" t="s">
        <v>128</v>
      </c>
      <c r="F83" t="s">
        <v>59</v>
      </c>
    </row>
    <row r="84" spans="5:6" ht="12.75">
      <c r="E84" t="s">
        <v>129</v>
      </c>
      <c r="F84" t="s">
        <v>59</v>
      </c>
    </row>
    <row r="85" spans="5:6" ht="12.75">
      <c r="E85" t="s">
        <v>131</v>
      </c>
      <c r="F85" t="s">
        <v>180</v>
      </c>
    </row>
    <row r="86" spans="5:6" ht="12.75">
      <c r="E86" t="s">
        <v>132</v>
      </c>
      <c r="F86" t="s">
        <v>180</v>
      </c>
    </row>
    <row r="87" spans="5:6" ht="12.75">
      <c r="E87" t="s">
        <v>133</v>
      </c>
      <c r="F87" t="s">
        <v>180</v>
      </c>
    </row>
    <row r="88" spans="5:6" ht="12.75">
      <c r="E88" t="s">
        <v>142</v>
      </c>
      <c r="F88" t="s">
        <v>180</v>
      </c>
    </row>
    <row r="89" spans="5:6" ht="12.75">
      <c r="E89" t="s">
        <v>143</v>
      </c>
      <c r="F89" t="s">
        <v>180</v>
      </c>
    </row>
    <row r="90" spans="5:6" ht="12.75">
      <c r="E90" t="s">
        <v>213</v>
      </c>
      <c r="F90" t="s">
        <v>180</v>
      </c>
    </row>
    <row r="91" spans="5:6" ht="12.75">
      <c r="E91" t="s">
        <v>51</v>
      </c>
      <c r="F91" t="s">
        <v>180</v>
      </c>
    </row>
    <row r="92" spans="5:6" ht="12.75">
      <c r="E92" t="s">
        <v>134</v>
      </c>
      <c r="F92" t="s">
        <v>180</v>
      </c>
    </row>
    <row r="93" spans="5:6" ht="12.75">
      <c r="E93" t="s">
        <v>166</v>
      </c>
      <c r="F93" t="s">
        <v>180</v>
      </c>
    </row>
    <row r="94" spans="5:6" ht="12.75">
      <c r="E94" t="s">
        <v>135</v>
      </c>
      <c r="F94" t="s">
        <v>180</v>
      </c>
    </row>
    <row r="95" spans="5:6" ht="12.75">
      <c r="E95" t="s">
        <v>230</v>
      </c>
      <c r="F95" t="s">
        <v>180</v>
      </c>
    </row>
    <row r="96" spans="5:6" ht="12.75">
      <c r="E96" t="s">
        <v>73</v>
      </c>
      <c r="F96" t="s">
        <v>180</v>
      </c>
    </row>
    <row r="97" spans="5:6" ht="12.75">
      <c r="E97" t="s">
        <v>136</v>
      </c>
      <c r="F97" t="s">
        <v>180</v>
      </c>
    </row>
    <row r="98" spans="5:6" ht="12.75">
      <c r="E98" t="s">
        <v>217</v>
      </c>
      <c r="F98" t="s">
        <v>180</v>
      </c>
    </row>
    <row r="99" spans="5:6" ht="12.75">
      <c r="E99" t="s">
        <v>168</v>
      </c>
      <c r="F99" t="s">
        <v>180</v>
      </c>
    </row>
    <row r="100" spans="5:6" ht="12.75">
      <c r="E100" t="s">
        <v>137</v>
      </c>
      <c r="F100" t="s">
        <v>180</v>
      </c>
    </row>
    <row r="101" spans="5:6" ht="12.75">
      <c r="E101" t="s">
        <v>138</v>
      </c>
      <c r="F101" t="s">
        <v>180</v>
      </c>
    </row>
    <row r="102" spans="5:6" ht="12.75">
      <c r="E102" t="s">
        <v>139</v>
      </c>
      <c r="F102" t="s">
        <v>180</v>
      </c>
    </row>
    <row r="103" spans="5:6" ht="12.75">
      <c r="E103" t="s">
        <v>148</v>
      </c>
      <c r="F103" t="s">
        <v>180</v>
      </c>
    </row>
    <row r="104" spans="5:6" ht="12.75">
      <c r="E104" t="s">
        <v>98</v>
      </c>
      <c r="F104" t="s">
        <v>180</v>
      </c>
    </row>
    <row r="105" spans="5:6" ht="12.75">
      <c r="E105" t="s">
        <v>202</v>
      </c>
      <c r="F105" t="s">
        <v>180</v>
      </c>
    </row>
    <row r="106" spans="5:6" ht="12.75">
      <c r="E106" t="s">
        <v>170</v>
      </c>
      <c r="F106" t="s">
        <v>180</v>
      </c>
    </row>
    <row r="107" spans="5:6" ht="12.75">
      <c r="E107" t="s">
        <v>140</v>
      </c>
      <c r="F107" t="s">
        <v>180</v>
      </c>
    </row>
    <row r="108" spans="5:6" ht="12.75">
      <c r="E108" t="s">
        <v>141</v>
      </c>
      <c r="F108" t="s">
        <v>180</v>
      </c>
    </row>
    <row r="109" spans="5:6" ht="12.75">
      <c r="E109" t="s">
        <v>144</v>
      </c>
      <c r="F109" t="s">
        <v>57</v>
      </c>
    </row>
    <row r="110" spans="5:6" ht="12.75">
      <c r="E110" t="s">
        <v>145</v>
      </c>
      <c r="F110" t="s">
        <v>57</v>
      </c>
    </row>
    <row r="111" spans="5:6" ht="12.75">
      <c r="E111" t="s">
        <v>146</v>
      </c>
      <c r="F111" t="s">
        <v>57</v>
      </c>
    </row>
    <row r="112" spans="5:6" ht="12.75">
      <c r="E112" t="s">
        <v>147</v>
      </c>
      <c r="F112" t="s">
        <v>57</v>
      </c>
    </row>
    <row r="113" spans="5:6" ht="12.75">
      <c r="E113" t="s">
        <v>149</v>
      </c>
      <c r="F113" t="s">
        <v>57</v>
      </c>
    </row>
    <row r="114" spans="5:6" ht="12.75">
      <c r="E114" t="s">
        <v>151</v>
      </c>
      <c r="F114" t="s">
        <v>57</v>
      </c>
    </row>
    <row r="115" spans="5:6" ht="12.75">
      <c r="E115" t="s">
        <v>152</v>
      </c>
      <c r="F115" t="s">
        <v>57</v>
      </c>
    </row>
    <row r="116" spans="5:6" ht="12.75">
      <c r="E116" t="s">
        <v>226</v>
      </c>
      <c r="F116" t="s">
        <v>57</v>
      </c>
    </row>
    <row r="117" spans="5:6" ht="12.75">
      <c r="E117" t="s">
        <v>153</v>
      </c>
      <c r="F117" t="s">
        <v>56</v>
      </c>
    </row>
    <row r="118" spans="5:6" ht="12.75">
      <c r="E118" t="s">
        <v>154</v>
      </c>
      <c r="F118" t="s">
        <v>56</v>
      </c>
    </row>
    <row r="119" spans="5:6" ht="12.75">
      <c r="E119" t="s">
        <v>155</v>
      </c>
      <c r="F119" t="s">
        <v>56</v>
      </c>
    </row>
    <row r="120" spans="5:6" ht="12.75">
      <c r="E120" t="s">
        <v>156</v>
      </c>
      <c r="F120" t="s">
        <v>56</v>
      </c>
    </row>
    <row r="121" spans="5:6" ht="12.75">
      <c r="E121" t="s">
        <v>157</v>
      </c>
      <c r="F121" t="s">
        <v>56</v>
      </c>
    </row>
    <row r="122" spans="5:6" ht="12.75">
      <c r="E122" t="s">
        <v>158</v>
      </c>
      <c r="F122" t="s">
        <v>56</v>
      </c>
    </row>
    <row r="123" spans="5:6" ht="12.75">
      <c r="E123" t="s">
        <v>159</v>
      </c>
      <c r="F123" t="s">
        <v>56</v>
      </c>
    </row>
    <row r="124" spans="5:6" ht="12.75">
      <c r="E124" t="s">
        <v>130</v>
      </c>
      <c r="F124" t="s">
        <v>56</v>
      </c>
    </row>
    <row r="125" spans="5:6" ht="12.75">
      <c r="E125" t="s">
        <v>204</v>
      </c>
      <c r="F125" t="s">
        <v>56</v>
      </c>
    </row>
    <row r="126" spans="5:6" ht="12.75">
      <c r="E126" t="s">
        <v>160</v>
      </c>
      <c r="F126" t="s">
        <v>56</v>
      </c>
    </row>
    <row r="127" spans="5:6" ht="12.75">
      <c r="E127" t="s">
        <v>91</v>
      </c>
      <c r="F127" t="s">
        <v>56</v>
      </c>
    </row>
    <row r="128" spans="5:6" ht="12.75">
      <c r="E128" t="s">
        <v>162</v>
      </c>
      <c r="F128" t="s">
        <v>55</v>
      </c>
    </row>
    <row r="129" spans="5:6" ht="12.75">
      <c r="E129" t="s">
        <v>163</v>
      </c>
      <c r="F129" t="s">
        <v>55</v>
      </c>
    </row>
    <row r="130" spans="5:6" ht="12.75">
      <c r="E130" t="s">
        <v>164</v>
      </c>
      <c r="F130" t="s">
        <v>55</v>
      </c>
    </row>
    <row r="131" spans="5:6" ht="12.75">
      <c r="E131" t="s">
        <v>165</v>
      </c>
      <c r="F131" t="s">
        <v>55</v>
      </c>
    </row>
    <row r="132" spans="5:6" ht="12.75">
      <c r="E132" t="s">
        <v>198</v>
      </c>
      <c r="F132" t="s">
        <v>55</v>
      </c>
    </row>
    <row r="133" spans="5:6" ht="12.75">
      <c r="E133" t="s">
        <v>199</v>
      </c>
      <c r="F133" t="s">
        <v>55</v>
      </c>
    </row>
    <row r="134" spans="5:6" ht="12.75">
      <c r="E134" t="s">
        <v>169</v>
      </c>
      <c r="F134" t="s">
        <v>55</v>
      </c>
    </row>
    <row r="135" spans="5:6" ht="12.75">
      <c r="E135" t="s">
        <v>76</v>
      </c>
      <c r="F135" t="s">
        <v>55</v>
      </c>
    </row>
    <row r="136" spans="5:6" ht="12.75">
      <c r="E136" t="s">
        <v>222</v>
      </c>
      <c r="F136" t="s">
        <v>55</v>
      </c>
    </row>
    <row r="137" spans="5:6" ht="12.75">
      <c r="E137" t="s">
        <v>223</v>
      </c>
      <c r="F137" t="s">
        <v>55</v>
      </c>
    </row>
    <row r="138" spans="5:6" ht="12.75">
      <c r="E138" t="s">
        <v>225</v>
      </c>
      <c r="F138" t="s">
        <v>55</v>
      </c>
    </row>
    <row r="139" spans="5:6" ht="12.75">
      <c r="E139" t="s">
        <v>224</v>
      </c>
      <c r="F139" t="s">
        <v>55</v>
      </c>
    </row>
    <row r="140" spans="5:6" ht="12.75">
      <c r="E140" t="s">
        <v>185</v>
      </c>
      <c r="F140" t="s">
        <v>55</v>
      </c>
    </row>
    <row r="141" spans="5:6" ht="12.75">
      <c r="E141" t="s">
        <v>186</v>
      </c>
      <c r="F141" t="s">
        <v>55</v>
      </c>
    </row>
    <row r="142" spans="5:6" ht="12.75">
      <c r="E142" t="s">
        <v>187</v>
      </c>
      <c r="F142" t="s">
        <v>55</v>
      </c>
    </row>
    <row r="143" spans="5:6" ht="12.75">
      <c r="E143" t="s">
        <v>184</v>
      </c>
      <c r="F143" t="s">
        <v>55</v>
      </c>
    </row>
    <row r="144" spans="5:6" ht="12.75">
      <c r="E144" t="s">
        <v>188</v>
      </c>
      <c r="F144" t="s">
        <v>55</v>
      </c>
    </row>
    <row r="145" spans="5:6" ht="12.75">
      <c r="E145" t="s">
        <v>161</v>
      </c>
      <c r="F145" t="s">
        <v>181</v>
      </c>
    </row>
    <row r="146" spans="5:6" ht="12.75">
      <c r="E146" t="s">
        <v>171</v>
      </c>
      <c r="F146" t="s">
        <v>181</v>
      </c>
    </row>
    <row r="147" spans="5:6" ht="12.75">
      <c r="E147" t="s">
        <v>172</v>
      </c>
      <c r="F147" t="s">
        <v>181</v>
      </c>
    </row>
    <row r="148" spans="5:6" ht="12.75">
      <c r="E148" t="s">
        <v>62</v>
      </c>
      <c r="F148" t="s">
        <v>181</v>
      </c>
    </row>
    <row r="149" spans="5:6" ht="12.75">
      <c r="E149" t="s">
        <v>227</v>
      </c>
      <c r="F149" t="s">
        <v>181</v>
      </c>
    </row>
    <row r="150" spans="5:6" ht="12.75">
      <c r="E150" t="s">
        <v>173</v>
      </c>
      <c r="F150" t="s">
        <v>61</v>
      </c>
    </row>
    <row r="151" spans="5:6" ht="12.75">
      <c r="E151" t="s">
        <v>174</v>
      </c>
      <c r="F151" t="s">
        <v>61</v>
      </c>
    </row>
    <row r="152" spans="5:6" ht="12.75">
      <c r="E152" t="s">
        <v>197</v>
      </c>
      <c r="F152" t="s">
        <v>61</v>
      </c>
    </row>
    <row r="153" spans="5:6" ht="12.75">
      <c r="E153" t="s">
        <v>175</v>
      </c>
      <c r="F153" t="s">
        <v>61</v>
      </c>
    </row>
    <row r="154" spans="5:6" ht="12.75">
      <c r="E154" t="s">
        <v>94</v>
      </c>
      <c r="F154" t="s">
        <v>61</v>
      </c>
    </row>
    <row r="155" spans="5:6" ht="12.75">
      <c r="E155" t="s">
        <v>176</v>
      </c>
      <c r="F155" t="s"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95"/>
  <sheetViews>
    <sheetView workbookViewId="0" topLeftCell="A1">
      <selection activeCell="C4" sqref="C4"/>
    </sheetView>
  </sheetViews>
  <sheetFormatPr defaultColWidth="9.140625" defaultRowHeight="12.75"/>
  <cols>
    <col min="1" max="1" width="21.00390625" style="0" customWidth="1"/>
    <col min="2" max="2" width="21.00390625" style="7" customWidth="1"/>
    <col min="3" max="3" width="10.28125" style="0" bestFit="1" customWidth="1"/>
    <col min="4" max="4" width="8.140625" style="0" bestFit="1" customWidth="1"/>
    <col min="5" max="5" width="9.00390625" style="0" bestFit="1" customWidth="1"/>
    <col min="6" max="6" width="12.00390625" style="0" bestFit="1" customWidth="1"/>
    <col min="7" max="7" width="7.28125" style="0" bestFit="1" customWidth="1"/>
    <col min="8" max="8" width="7.00390625" style="0" customWidth="1"/>
    <col min="9" max="9" width="9.00390625" style="0" bestFit="1" customWidth="1"/>
    <col min="10" max="10" width="6.57421875" style="0" bestFit="1" customWidth="1"/>
    <col min="11" max="11" width="9.28125" style="0" customWidth="1"/>
    <col min="12" max="12" width="6.8515625" style="7" bestFit="1" customWidth="1"/>
    <col min="13" max="13" width="7.140625" style="0" bestFit="1" customWidth="1"/>
    <col min="14" max="14" width="9.00390625" style="0" bestFit="1" customWidth="1"/>
    <col min="15" max="15" width="12.00390625" style="0" bestFit="1" customWidth="1"/>
    <col min="16" max="16" width="7.28125" style="0" bestFit="1" customWidth="1"/>
    <col min="17" max="17" width="8.00390625" style="0" customWidth="1"/>
    <col min="18" max="18" width="15.28125" style="0" bestFit="1" customWidth="1"/>
    <col min="19" max="19" width="5.00390625" style="0" bestFit="1" customWidth="1"/>
    <col min="20" max="20" width="7.28125" style="0" bestFit="1" customWidth="1"/>
  </cols>
  <sheetData>
    <row r="1" spans="1:12" ht="12.75">
      <c r="A1" s="12" t="s">
        <v>54</v>
      </c>
      <c r="B1" s="21" t="str">
        <f>"http://www.manifestinvesting.com"&amp;IF(fPublicDashboard,"/dashboard/","/auth/portfolio?port_id=")&amp;Dashboard!A2</f>
        <v>http://www.manifestinvesting.com/dashboard/217</v>
      </c>
      <c r="C1" s="7"/>
      <c r="L1"/>
    </row>
    <row r="2" spans="1:12" ht="12.75">
      <c r="A2">
        <f>A3-1</f>
        <v>17</v>
      </c>
      <c r="B2" s="7" t="s">
        <v>40</v>
      </c>
      <c r="C2" s="7"/>
      <c r="L2"/>
    </row>
    <row r="3" spans="1:12" ht="12.75">
      <c r="A3">
        <f ca="1">MATCH(B3,OFFSET(miDashboard,0,0,,1),0)-1</f>
        <v>18</v>
      </c>
      <c r="B3" s="7" t="s">
        <v>43</v>
      </c>
      <c r="C3" s="7"/>
      <c r="L3"/>
    </row>
    <row r="4" spans="1:12" ht="12.75">
      <c r="A4">
        <f ca="1">MATCH(B4,OFFSET(wqMIDashboard!miDashboard,$A$3,0,1,),0)-1</f>
        <v>1</v>
      </c>
      <c r="B4" s="7" t="s">
        <v>206</v>
      </c>
      <c r="C4" s="7"/>
      <c r="L4"/>
    </row>
    <row r="5" spans="1:12" ht="12.75">
      <c r="A5">
        <f ca="1">MATCH(B5,OFFSET(wqMIDashboard!miDashboard,$A$3,0,1,),0)-1</f>
        <v>2</v>
      </c>
      <c r="B5" s="7" t="s">
        <v>11</v>
      </c>
      <c r="C5" s="7"/>
      <c r="L5"/>
    </row>
    <row r="6" spans="1:12" ht="12.75">
      <c r="A6">
        <f ca="1">MATCH(B6,OFFSET(wqMIDashboard!miDashboard,$A$3,0,1,),0)-1</f>
        <v>5</v>
      </c>
      <c r="B6" s="7" t="s">
        <v>195</v>
      </c>
      <c r="C6" s="7"/>
      <c r="L6"/>
    </row>
    <row r="7" spans="1:12" ht="12.75">
      <c r="A7">
        <f ca="1">MATCH(B7,OFFSET(wqMIDashboard!miDashboard,$A$3,0,1,),0)-1</f>
        <v>4</v>
      </c>
      <c r="B7" s="7" t="s">
        <v>13</v>
      </c>
      <c r="C7" s="7"/>
      <c r="L7"/>
    </row>
    <row r="8" spans="1:12" ht="12.75">
      <c r="A8">
        <f ca="1">MATCH(B8,OFFSET(wqMIDashboard!miDashboard,$A$3,0,1,),0)-1</f>
        <v>6</v>
      </c>
      <c r="B8" s="7" t="s">
        <v>14</v>
      </c>
      <c r="C8" s="7"/>
      <c r="L8"/>
    </row>
    <row r="9" spans="1:12" ht="12.75">
      <c r="A9">
        <f ca="1">MATCH(B9,OFFSET(wqMIDashboard!miDashboard,$A$3,0,1,),0)-1</f>
        <v>7</v>
      </c>
      <c r="B9" s="7" t="s">
        <v>191</v>
      </c>
      <c r="C9" s="7"/>
      <c r="L9"/>
    </row>
    <row r="10" spans="1:12" ht="12.75">
      <c r="A10">
        <f>IF(ISNA(C10),D10,C10)</f>
        <v>8</v>
      </c>
      <c r="B10" s="7" t="s">
        <v>15</v>
      </c>
      <c r="C10" s="7">
        <f ca="1">MATCH(B10,OFFSET(wqMIDashboard!miDashboard,$A$3,0,1,),0)-1</f>
        <v>8</v>
      </c>
      <c r="D10">
        <f ca="1">MATCH(E10,OFFSET(wqMIDashboard!miDashboard,$A$3,0,1,),0)-1</f>
        <v>8</v>
      </c>
      <c r="E10" t="s">
        <v>15</v>
      </c>
      <c r="L10"/>
    </row>
    <row r="11" spans="1:12" ht="12.75">
      <c r="A11">
        <f ca="1">MATCH(B11,OFFSET(wqMIDashboard!miDashboard,$A$3,0,1,),0)-1</f>
        <v>11</v>
      </c>
      <c r="B11" s="7" t="s">
        <v>16</v>
      </c>
      <c r="C11" s="7"/>
      <c r="L11"/>
    </row>
    <row r="12" spans="1:12" ht="12.75">
      <c r="A12">
        <f ca="1">MATCH(B12,OFFSET(wqMIDashboard!miDashboard,$A$3,0,1,),0)-1</f>
        <v>12</v>
      </c>
      <c r="B12" s="7" t="s">
        <v>17</v>
      </c>
      <c r="C12" s="7"/>
      <c r="L12"/>
    </row>
    <row r="13" spans="1:12" ht="12.75">
      <c r="A13">
        <f ca="1">MATCH(B13,OFFSET(wqMIDashboard!miDashboard,$A$3,0,1,),0)-1</f>
        <v>0</v>
      </c>
      <c r="B13" s="7" t="s">
        <v>43</v>
      </c>
      <c r="C13" s="7"/>
      <c r="L13"/>
    </row>
    <row r="14" spans="2:12" ht="12.75">
      <c r="B14" s="19" t="s">
        <v>42</v>
      </c>
      <c r="C14" s="7"/>
      <c r="L14"/>
    </row>
    <row r="15" spans="1:12" ht="12.75">
      <c r="A15">
        <f ca="1">MATCH(B15,OFFSET(miDashboard,0,0,,1),0)-1</f>
        <v>52</v>
      </c>
      <c r="B15" s="20" t="s">
        <v>34</v>
      </c>
      <c r="C15" s="7"/>
      <c r="L15"/>
    </row>
    <row r="16" spans="1:12" ht="12.75">
      <c r="A16">
        <f ca="1">A15+MATCH(B16,OFFSET(miDashboard,A15,0,,1),0)-1</f>
        <v>53</v>
      </c>
      <c r="B16" s="7" t="s">
        <v>28</v>
      </c>
      <c r="C16" s="7">
        <f>VALUE(MID($H16,E16,F16-E16-1))/100</f>
        <v>0.134</v>
      </c>
      <c r="D16" s="6">
        <f>VALUE(MID($H16,F16,G16-F16-1))/100</f>
        <v>0.184</v>
      </c>
      <c r="E16">
        <f>FIND(" currently ",$H16)+11</f>
        <v>59</v>
      </c>
      <c r="F16">
        <f>FIND("-",$H16,E16)+1</f>
        <v>64</v>
      </c>
      <c r="G16">
        <f>FIND("%",$H16,F16)+1</f>
        <v>69</v>
      </c>
      <c r="H16" t="str">
        <f ca="1">OFFSET(wqMIDashboard!miDashboard,A16,1,1,1)</f>
        <v>PAR is within the target range of MIPAR +5-10%, currently 13.4-18.4%.</v>
      </c>
      <c r="L16"/>
    </row>
    <row r="17" spans="2:12" ht="12.75">
      <c r="B17" s="19" t="s">
        <v>42</v>
      </c>
      <c r="C17" s="7"/>
      <c r="L17"/>
    </row>
    <row r="18" spans="1:12" ht="12.75">
      <c r="A18" s="3" t="s">
        <v>0</v>
      </c>
      <c r="B18"/>
      <c r="L18"/>
    </row>
    <row r="19" spans="1:12" ht="12.75">
      <c r="A19" s="3" t="s">
        <v>1</v>
      </c>
      <c r="B19"/>
      <c r="L19"/>
    </row>
    <row r="20" spans="1:12" ht="12.75">
      <c r="A20" s="3" t="s">
        <v>2</v>
      </c>
      <c r="B20"/>
      <c r="L20"/>
    </row>
    <row r="21" spans="1:12" ht="12.75">
      <c r="A21" s="3" t="s">
        <v>3</v>
      </c>
      <c r="B21"/>
      <c r="L21"/>
    </row>
    <row r="22" spans="1:12" ht="12.75">
      <c r="A22" s="3" t="s">
        <v>4</v>
      </c>
      <c r="B22"/>
      <c r="L22"/>
    </row>
    <row r="23" spans="1:12" ht="12.75">
      <c r="A23" s="3" t="s">
        <v>5</v>
      </c>
      <c r="B23"/>
      <c r="L23"/>
    </row>
    <row r="24" spans="1:12" ht="12.75">
      <c r="A24" s="3" t="s">
        <v>6</v>
      </c>
      <c r="B24"/>
      <c r="L24"/>
    </row>
    <row r="25" spans="1:12" ht="12.75">
      <c r="A25" s="3" t="s">
        <v>7</v>
      </c>
      <c r="B25"/>
      <c r="L25"/>
    </row>
    <row r="26" spans="1:12" ht="12.75">
      <c r="A26" s="3" t="s">
        <v>8</v>
      </c>
      <c r="B26"/>
      <c r="L26"/>
    </row>
    <row r="27" spans="1:12" ht="12.75">
      <c r="A27" s="3" t="s">
        <v>9</v>
      </c>
      <c r="B27"/>
      <c r="L27"/>
    </row>
    <row r="28" spans="1:12" ht="12.75">
      <c r="A28" s="3" t="s">
        <v>10</v>
      </c>
      <c r="B28"/>
      <c r="L28"/>
    </row>
    <row r="29" spans="1:12" ht="12.75">
      <c r="A29" s="3" t="s">
        <v>268</v>
      </c>
      <c r="B29"/>
      <c r="L29"/>
    </row>
    <row r="30" spans="1:12" ht="12.75">
      <c r="A30" s="3" t="s">
        <v>269</v>
      </c>
      <c r="B30"/>
      <c r="L30"/>
    </row>
    <row r="31" spans="1:12" ht="12.75">
      <c r="A31" s="3" t="s">
        <v>235</v>
      </c>
      <c r="B31"/>
      <c r="L31"/>
    </row>
    <row r="32" spans="1:12" ht="12.75">
      <c r="A32" s="3"/>
      <c r="B32"/>
      <c r="L32"/>
    </row>
    <row r="33" spans="1:12" ht="12.75">
      <c r="A33" s="3" t="s">
        <v>236</v>
      </c>
      <c r="B33"/>
      <c r="L33"/>
    </row>
    <row r="34" spans="1:12" ht="12.75">
      <c r="A34" s="3"/>
      <c r="B34"/>
      <c r="L34"/>
    </row>
    <row r="35" spans="1:12" ht="12.75">
      <c r="A35" s="3" t="s">
        <v>237</v>
      </c>
      <c r="B35"/>
      <c r="K35" t="s">
        <v>300</v>
      </c>
      <c r="L35"/>
    </row>
    <row r="36" spans="1:13" ht="12.75">
      <c r="A36" s="3" t="s">
        <v>43</v>
      </c>
      <c r="B36" t="s">
        <v>206</v>
      </c>
      <c r="C36" t="s">
        <v>11</v>
      </c>
      <c r="D36" t="s">
        <v>12</v>
      </c>
      <c r="E36" t="s">
        <v>13</v>
      </c>
      <c r="F36" t="s">
        <v>195</v>
      </c>
      <c r="G36" t="s">
        <v>14</v>
      </c>
      <c r="H36" t="s">
        <v>191</v>
      </c>
      <c r="I36" t="s">
        <v>15</v>
      </c>
      <c r="J36" t="s">
        <v>193</v>
      </c>
      <c r="K36" t="s">
        <v>194</v>
      </c>
      <c r="L36" t="s">
        <v>16</v>
      </c>
      <c r="M36" t="s">
        <v>17</v>
      </c>
    </row>
    <row r="37" spans="1:13" ht="12.75">
      <c r="A37" s="3" t="s">
        <v>248</v>
      </c>
      <c r="B37" t="s">
        <v>249</v>
      </c>
      <c r="C37">
        <v>129.605</v>
      </c>
      <c r="D37" s="1">
        <v>51.39</v>
      </c>
      <c r="E37" s="22">
        <v>6660</v>
      </c>
      <c r="F37" s="2">
        <v>0.081</v>
      </c>
      <c r="G37" s="2">
        <v>0.08</v>
      </c>
      <c r="H37">
        <v>20</v>
      </c>
      <c r="I37" s="2">
        <v>0.007</v>
      </c>
      <c r="J37" s="30">
        <v>0.99</v>
      </c>
      <c r="K37">
        <v>97</v>
      </c>
      <c r="L37">
        <v>78.9</v>
      </c>
      <c r="M37" s="2">
        <v>0.176</v>
      </c>
    </row>
    <row r="38" spans="1:13" ht="12.75">
      <c r="A38" s="3" t="s">
        <v>290</v>
      </c>
      <c r="B38" t="s">
        <v>291</v>
      </c>
      <c r="C38">
        <v>139.138</v>
      </c>
      <c r="D38" s="1">
        <v>47.73</v>
      </c>
      <c r="E38" s="22">
        <v>6641</v>
      </c>
      <c r="F38" s="2">
        <v>0.081</v>
      </c>
      <c r="G38" s="2">
        <v>0.143</v>
      </c>
      <c r="H38">
        <v>21</v>
      </c>
      <c r="I38" s="2">
        <v>0</v>
      </c>
      <c r="J38" s="30">
        <v>0.95</v>
      </c>
      <c r="K38">
        <v>86</v>
      </c>
      <c r="L38">
        <v>88.4</v>
      </c>
      <c r="M38" s="2">
        <v>0.119</v>
      </c>
    </row>
    <row r="39" spans="1:13" ht="12.75">
      <c r="A39" s="3" t="s">
        <v>294</v>
      </c>
      <c r="B39" t="s">
        <v>295</v>
      </c>
      <c r="C39">
        <v>21</v>
      </c>
      <c r="D39" s="1">
        <v>308.43</v>
      </c>
      <c r="E39" s="22">
        <v>6477</v>
      </c>
      <c r="F39" s="2">
        <v>0.079</v>
      </c>
      <c r="G39" s="2">
        <v>0.148</v>
      </c>
      <c r="H39">
        <v>21</v>
      </c>
      <c r="I39" s="2">
        <v>0</v>
      </c>
      <c r="J39" s="30">
        <v>0.98</v>
      </c>
      <c r="K39">
        <v>35</v>
      </c>
      <c r="L39">
        <v>83.3</v>
      </c>
      <c r="M39" s="2">
        <v>0.194</v>
      </c>
    </row>
    <row r="40" spans="1:13" ht="12.75">
      <c r="A40" s="3" t="s">
        <v>244</v>
      </c>
      <c r="B40" t="s">
        <v>245</v>
      </c>
      <c r="C40">
        <v>72.561</v>
      </c>
      <c r="D40" s="1">
        <v>88.95</v>
      </c>
      <c r="E40" s="22">
        <v>6454</v>
      </c>
      <c r="F40" s="2">
        <v>0.078</v>
      </c>
      <c r="G40" s="2">
        <v>0.096</v>
      </c>
      <c r="H40">
        <v>20</v>
      </c>
      <c r="I40" s="2">
        <v>0.011</v>
      </c>
      <c r="J40" s="30">
        <v>0.99</v>
      </c>
      <c r="K40">
        <v>97</v>
      </c>
      <c r="L40">
        <v>80.4</v>
      </c>
      <c r="M40" s="2">
        <v>0.045</v>
      </c>
    </row>
    <row r="41" spans="1:13" ht="12.75">
      <c r="A41" s="3" t="s">
        <v>238</v>
      </c>
      <c r="B41" t="s">
        <v>239</v>
      </c>
      <c r="C41">
        <v>231.338</v>
      </c>
      <c r="D41" s="1">
        <v>25.84</v>
      </c>
      <c r="E41" s="22">
        <v>5977</v>
      </c>
      <c r="F41" s="2">
        <v>0.073</v>
      </c>
      <c r="G41" s="2">
        <v>0.08</v>
      </c>
      <c r="H41">
        <v>14</v>
      </c>
      <c r="I41" s="2">
        <v>0.019</v>
      </c>
      <c r="J41" s="30">
        <v>0.95</v>
      </c>
      <c r="K41">
        <v>91</v>
      </c>
      <c r="L41">
        <v>82.2</v>
      </c>
      <c r="M41" s="2">
        <v>0.175</v>
      </c>
    </row>
    <row r="42" spans="1:13" ht="12.75">
      <c r="A42" s="3" t="s">
        <v>240</v>
      </c>
      <c r="B42" t="s">
        <v>241</v>
      </c>
      <c r="C42">
        <v>115.632</v>
      </c>
      <c r="D42" s="1">
        <v>50.53</v>
      </c>
      <c r="E42" s="22">
        <v>5842</v>
      </c>
      <c r="F42" s="2">
        <v>0.071</v>
      </c>
      <c r="G42" s="2">
        <v>0.09</v>
      </c>
      <c r="H42">
        <v>13</v>
      </c>
      <c r="I42" s="2">
        <v>0.008</v>
      </c>
      <c r="J42" s="30">
        <v>0.88</v>
      </c>
      <c r="K42">
        <v>88</v>
      </c>
      <c r="L42">
        <v>79.5</v>
      </c>
      <c r="M42" s="2">
        <v>0.141</v>
      </c>
    </row>
    <row r="43" spans="1:13" ht="12.75">
      <c r="A43" s="3" t="s">
        <v>231</v>
      </c>
      <c r="B43" t="s">
        <v>232</v>
      </c>
      <c r="C43">
        <v>159.12</v>
      </c>
      <c r="D43" s="1">
        <v>34.42</v>
      </c>
      <c r="E43" s="22">
        <v>5476</v>
      </c>
      <c r="F43" s="2">
        <v>0.067</v>
      </c>
      <c r="G43" s="2">
        <v>0.063</v>
      </c>
      <c r="H43">
        <v>15</v>
      </c>
      <c r="I43" s="2">
        <v>0.019</v>
      </c>
      <c r="J43" s="30">
        <v>0.98</v>
      </c>
      <c r="K43">
        <v>97</v>
      </c>
      <c r="L43">
        <v>76.1</v>
      </c>
      <c r="M43" s="2">
        <v>0.113</v>
      </c>
    </row>
    <row r="44" spans="1:13" ht="12.75">
      <c r="A44" s="3" t="s">
        <v>266</v>
      </c>
      <c r="B44" t="s">
        <v>267</v>
      </c>
      <c r="C44">
        <v>95.537</v>
      </c>
      <c r="D44" s="1">
        <v>54.67</v>
      </c>
      <c r="E44" s="22">
        <v>5223</v>
      </c>
      <c r="F44" s="2">
        <v>0.063</v>
      </c>
      <c r="G44" s="2">
        <v>0.131</v>
      </c>
      <c r="H44">
        <v>11</v>
      </c>
      <c r="I44" s="2">
        <v>0.021</v>
      </c>
      <c r="J44" s="30">
        <v>0.75</v>
      </c>
      <c r="K44">
        <v>87</v>
      </c>
      <c r="L44">
        <v>85.3</v>
      </c>
      <c r="M44" s="2">
        <v>0.152</v>
      </c>
    </row>
    <row r="45" spans="1:13" ht="12.75">
      <c r="A45" s="3" t="s">
        <v>242</v>
      </c>
      <c r="B45" s="2" t="s">
        <v>243</v>
      </c>
      <c r="C45">
        <v>73.653</v>
      </c>
      <c r="D45" s="1">
        <v>66.34</v>
      </c>
      <c r="E45" s="22">
        <v>4886</v>
      </c>
      <c r="F45" s="2">
        <v>0.059</v>
      </c>
      <c r="G45" s="2">
        <v>0.134</v>
      </c>
      <c r="H45">
        <v>22</v>
      </c>
      <c r="I45" s="2">
        <v>0.01</v>
      </c>
      <c r="J45" s="30">
        <v>0.99</v>
      </c>
      <c r="K45">
        <v>83</v>
      </c>
      <c r="L45">
        <v>90.7</v>
      </c>
      <c r="M45" s="2">
        <v>0.116</v>
      </c>
    </row>
    <row r="46" spans="1:13" ht="12.75">
      <c r="A46" s="3" t="s">
        <v>250</v>
      </c>
      <c r="B46" s="2" t="s">
        <v>251</v>
      </c>
      <c r="C46">
        <v>227</v>
      </c>
      <c r="D46" s="1">
        <v>19.61</v>
      </c>
      <c r="E46" s="22">
        <v>4451</v>
      </c>
      <c r="F46" s="2">
        <v>0.054</v>
      </c>
      <c r="G46" s="2">
        <v>0.102</v>
      </c>
      <c r="H46">
        <v>16</v>
      </c>
      <c r="I46" s="2">
        <v>0</v>
      </c>
      <c r="J46" s="30">
        <v>0.92</v>
      </c>
      <c r="K46">
        <v>83</v>
      </c>
      <c r="L46">
        <v>77</v>
      </c>
      <c r="M46" s="2">
        <v>0.148</v>
      </c>
    </row>
    <row r="47" spans="1:13" ht="12.75">
      <c r="A47" s="3" t="s">
        <v>252</v>
      </c>
      <c r="B47" s="2" t="s">
        <v>253</v>
      </c>
      <c r="C47">
        <v>52.18</v>
      </c>
      <c r="D47" s="1">
        <v>79.83</v>
      </c>
      <c r="E47" s="22">
        <v>4165</v>
      </c>
      <c r="F47" s="2">
        <v>0.051</v>
      </c>
      <c r="G47" s="2">
        <v>0.088</v>
      </c>
      <c r="H47">
        <v>14</v>
      </c>
      <c r="I47" s="2">
        <v>0.014</v>
      </c>
      <c r="J47" s="30">
        <v>0.68</v>
      </c>
      <c r="K47">
        <v>70</v>
      </c>
      <c r="L47">
        <v>60.3</v>
      </c>
      <c r="M47" s="2">
        <v>0.047</v>
      </c>
    </row>
    <row r="48" spans="1:13" ht="12.75">
      <c r="A48" s="3" t="s">
        <v>256</v>
      </c>
      <c r="B48" s="2" t="s">
        <v>257</v>
      </c>
      <c r="C48">
        <v>64.296</v>
      </c>
      <c r="D48" s="1">
        <v>62.43</v>
      </c>
      <c r="E48" s="22">
        <v>4013</v>
      </c>
      <c r="F48" s="2">
        <v>0.049</v>
      </c>
      <c r="G48" s="2">
        <v>0.2</v>
      </c>
      <c r="H48">
        <v>24</v>
      </c>
      <c r="I48" s="2">
        <v>0.025</v>
      </c>
      <c r="J48" s="30">
        <v>0.93</v>
      </c>
      <c r="K48">
        <v>76</v>
      </c>
      <c r="L48">
        <v>76.7</v>
      </c>
      <c r="M48" s="2">
        <v>0.164</v>
      </c>
    </row>
    <row r="49" spans="1:13" ht="12.75">
      <c r="A49" s="3" t="s">
        <v>246</v>
      </c>
      <c r="B49" s="2" t="s">
        <v>247</v>
      </c>
      <c r="C49">
        <v>72.348</v>
      </c>
      <c r="D49" s="1">
        <v>43.23</v>
      </c>
      <c r="E49" s="22">
        <v>3127</v>
      </c>
      <c r="F49" s="2">
        <v>0.038</v>
      </c>
      <c r="G49" s="2">
        <v>0.09</v>
      </c>
      <c r="H49">
        <v>18</v>
      </c>
      <c r="I49" s="2">
        <v>0.002</v>
      </c>
      <c r="J49" s="30">
        <v>0.94</v>
      </c>
      <c r="K49">
        <v>76</v>
      </c>
      <c r="L49">
        <v>78.4</v>
      </c>
      <c r="M49" s="2">
        <v>0.108</v>
      </c>
    </row>
    <row r="50" spans="1:13" ht="12.75">
      <c r="A50" s="3" t="s">
        <v>261</v>
      </c>
      <c r="B50" s="2" t="s">
        <v>262</v>
      </c>
      <c r="C50">
        <v>76</v>
      </c>
      <c r="D50" s="1">
        <v>34.23</v>
      </c>
      <c r="E50" s="22">
        <v>2601</v>
      </c>
      <c r="F50" s="2">
        <v>0.032</v>
      </c>
      <c r="G50" s="2">
        <v>0.1</v>
      </c>
      <c r="H50">
        <v>10</v>
      </c>
      <c r="I50" s="2">
        <v>0</v>
      </c>
      <c r="J50" s="30">
        <v>0.79</v>
      </c>
      <c r="K50">
        <v>65</v>
      </c>
      <c r="L50">
        <v>76.8</v>
      </c>
      <c r="M50" s="2">
        <v>0.056</v>
      </c>
    </row>
    <row r="51" spans="1:13" ht="12.75">
      <c r="A51" s="3" t="s">
        <v>296</v>
      </c>
      <c r="B51" t="s">
        <v>297</v>
      </c>
      <c r="C51">
        <v>10.686</v>
      </c>
      <c r="D51" s="1">
        <v>242.49</v>
      </c>
      <c r="E51" s="22">
        <v>2591</v>
      </c>
      <c r="F51" s="2">
        <v>0.031</v>
      </c>
      <c r="G51" s="2">
        <v>0.28</v>
      </c>
      <c r="H51">
        <v>19</v>
      </c>
      <c r="I51" s="2">
        <v>0.002</v>
      </c>
      <c r="J51" s="30">
        <v>0.97</v>
      </c>
      <c r="K51">
        <v>60</v>
      </c>
      <c r="L51">
        <v>81.4</v>
      </c>
      <c r="M51" s="2">
        <v>0.164</v>
      </c>
    </row>
    <row r="52" spans="1:13" ht="12.75">
      <c r="A52" s="3" t="s">
        <v>254</v>
      </c>
      <c r="B52" s="2" t="s">
        <v>255</v>
      </c>
      <c r="C52">
        <v>41.108</v>
      </c>
      <c r="D52" s="1">
        <v>48.89</v>
      </c>
      <c r="E52" s="22">
        <v>2009</v>
      </c>
      <c r="F52" s="2">
        <v>0.024</v>
      </c>
      <c r="G52" s="2">
        <v>0.075</v>
      </c>
      <c r="H52">
        <v>20</v>
      </c>
      <c r="I52" s="2">
        <v>0.014</v>
      </c>
      <c r="J52" s="30">
        <v>0.94</v>
      </c>
      <c r="K52">
        <v>99</v>
      </c>
      <c r="L52">
        <v>76.1</v>
      </c>
      <c r="M52" s="2">
        <v>0.107</v>
      </c>
    </row>
    <row r="53" spans="1:13" ht="12.75">
      <c r="A53" s="3" t="s">
        <v>263</v>
      </c>
      <c r="B53" s="2" t="s">
        <v>264</v>
      </c>
      <c r="C53">
        <v>59.437</v>
      </c>
      <c r="D53" s="1">
        <v>29</v>
      </c>
      <c r="E53" s="22">
        <v>1723</v>
      </c>
      <c r="F53" s="2">
        <v>0.021</v>
      </c>
      <c r="G53" s="2">
        <v>0.074</v>
      </c>
      <c r="H53">
        <v>16</v>
      </c>
      <c r="I53" s="2">
        <v>0.03</v>
      </c>
      <c r="J53" s="30">
        <v>0.98</v>
      </c>
      <c r="K53">
        <v>95</v>
      </c>
      <c r="L53">
        <v>80.1</v>
      </c>
      <c r="M53" s="2">
        <v>0.135</v>
      </c>
    </row>
    <row r="54" spans="1:13" ht="12.75">
      <c r="A54" s="3" t="s">
        <v>18</v>
      </c>
      <c r="B54" s="2"/>
      <c r="D54" s="1"/>
      <c r="E54" s="22">
        <v>3938</v>
      </c>
      <c r="F54" s="2">
        <v>0.048</v>
      </c>
      <c r="G54" s="2"/>
      <c r="I54" s="2">
        <v>0.001</v>
      </c>
      <c r="J54" s="30"/>
      <c r="L54"/>
      <c r="M54" s="2">
        <v>0.001</v>
      </c>
    </row>
    <row r="55" spans="1:13" ht="12.75">
      <c r="A55" s="3" t="s">
        <v>19</v>
      </c>
      <c r="B55" s="2"/>
      <c r="E55" s="22">
        <v>82261</v>
      </c>
      <c r="F55" s="2">
        <v>1</v>
      </c>
      <c r="G55" s="2">
        <v>0.114</v>
      </c>
      <c r="H55">
        <v>17.5</v>
      </c>
      <c r="I55" s="2">
        <v>0.01</v>
      </c>
      <c r="J55" s="30">
        <v>0.92</v>
      </c>
      <c r="K55">
        <v>81</v>
      </c>
      <c r="L55">
        <v>80.2</v>
      </c>
      <c r="M55" s="2">
        <v>0.124</v>
      </c>
    </row>
    <row r="56" spans="1:13" ht="12.75">
      <c r="A56" s="3"/>
      <c r="B56" s="2"/>
      <c r="E56" s="22"/>
      <c r="F56" s="2"/>
      <c r="G56" s="2"/>
      <c r="I56" s="2"/>
      <c r="J56" s="30"/>
      <c r="L56"/>
      <c r="M56" s="2"/>
    </row>
    <row r="57" spans="1:12" ht="12.75">
      <c r="A57" s="3" t="s">
        <v>20</v>
      </c>
      <c r="B57" s="2"/>
      <c r="L57"/>
    </row>
    <row r="58" spans="1:12" ht="12.75">
      <c r="A58" s="3" t="s">
        <v>17</v>
      </c>
      <c r="B58" s="2">
        <v>0.124</v>
      </c>
      <c r="L58"/>
    </row>
    <row r="59" spans="1:12" ht="12.75">
      <c r="A59" s="3" t="s">
        <v>21</v>
      </c>
      <c r="B59" s="2">
        <v>80.2</v>
      </c>
      <c r="L59"/>
    </row>
    <row r="60" spans="1:12" ht="12.75">
      <c r="A60" s="3" t="s">
        <v>14</v>
      </c>
      <c r="B60" s="2">
        <v>0.114</v>
      </c>
      <c r="L60"/>
    </row>
    <row r="61" spans="1:12" ht="12.75">
      <c r="A61" s="3" t="s">
        <v>22</v>
      </c>
      <c r="B61" s="2">
        <v>17.5</v>
      </c>
      <c r="L61"/>
    </row>
    <row r="62" spans="1:12" ht="12.75">
      <c r="A62" s="3" t="s">
        <v>23</v>
      </c>
      <c r="B62" s="2">
        <v>0.01</v>
      </c>
      <c r="L62"/>
    </row>
    <row r="63" spans="1:12" ht="12.75">
      <c r="A63" s="3" t="s">
        <v>24</v>
      </c>
      <c r="B63" s="2">
        <v>92</v>
      </c>
      <c r="L63"/>
    </row>
    <row r="64" spans="1:12" ht="12.75">
      <c r="A64" s="3" t="s">
        <v>190</v>
      </c>
      <c r="B64" s="2">
        <v>81</v>
      </c>
      <c r="L64"/>
    </row>
    <row r="65" spans="1:12" ht="12.75">
      <c r="A65" s="3" t="s">
        <v>25</v>
      </c>
      <c r="B65"/>
      <c r="L65"/>
    </row>
    <row r="66" spans="1:12" ht="12.75">
      <c r="A66" s="3" t="s">
        <v>26</v>
      </c>
      <c r="B66" t="s">
        <v>27</v>
      </c>
      <c r="L66"/>
    </row>
    <row r="67" spans="1:12" ht="12.75">
      <c r="A67" s="3" t="s">
        <v>28</v>
      </c>
      <c r="B67" s="2" t="s">
        <v>29</v>
      </c>
      <c r="L67"/>
    </row>
    <row r="68" spans="1:12" ht="12.75">
      <c r="A68" s="3" t="s">
        <v>30</v>
      </c>
      <c r="B68" t="s">
        <v>31</v>
      </c>
      <c r="L68"/>
    </row>
    <row r="69" spans="1:12" ht="12.75">
      <c r="A69" s="3" t="s">
        <v>32</v>
      </c>
      <c r="B69" s="2" t="s">
        <v>33</v>
      </c>
      <c r="L69"/>
    </row>
    <row r="70" spans="1:20" ht="12.75">
      <c r="A70" s="3" t="s">
        <v>34</v>
      </c>
      <c r="B70" s="2"/>
      <c r="L70"/>
      <c r="N70" s="3"/>
      <c r="O70" s="3"/>
      <c r="P70" s="3"/>
      <c r="Q70" s="3"/>
      <c r="R70" s="3"/>
      <c r="S70" s="3"/>
      <c r="T70" s="3"/>
    </row>
    <row r="71" spans="1:20" ht="12.75">
      <c r="A71" s="3" t="s">
        <v>28</v>
      </c>
      <c r="B71" s="2" t="s">
        <v>301</v>
      </c>
      <c r="L71"/>
      <c r="N71" s="3"/>
      <c r="O71" s="3"/>
      <c r="P71" s="3"/>
      <c r="Q71" s="3"/>
      <c r="R71" s="3"/>
      <c r="S71" s="3"/>
      <c r="T71" s="3"/>
    </row>
    <row r="72" spans="1:20" ht="12.75">
      <c r="A72" s="3" t="s">
        <v>35</v>
      </c>
      <c r="B72" s="2" t="s">
        <v>302</v>
      </c>
      <c r="L72"/>
      <c r="N72" s="3"/>
      <c r="O72" s="3"/>
      <c r="P72" s="3"/>
      <c r="Q72" s="3"/>
      <c r="R72" s="3"/>
      <c r="S72" s="3"/>
      <c r="T72" s="3"/>
    </row>
    <row r="73" spans="1:20" ht="12.75">
      <c r="A73" s="3" t="s">
        <v>17</v>
      </c>
      <c r="B73" s="2" t="s">
        <v>36</v>
      </c>
      <c r="L73"/>
      <c r="N73" s="3"/>
      <c r="O73" s="3"/>
      <c r="P73" s="3"/>
      <c r="Q73" s="3"/>
      <c r="R73" s="3"/>
      <c r="S73" s="3"/>
      <c r="T73" s="3"/>
    </row>
    <row r="74" spans="1:20" ht="12.75">
      <c r="A74" s="3" t="s">
        <v>37</v>
      </c>
      <c r="B74" t="s">
        <v>38</v>
      </c>
      <c r="L74"/>
      <c r="N74" s="3"/>
      <c r="O74" s="3"/>
      <c r="P74" s="3"/>
      <c r="Q74" s="3"/>
      <c r="R74" s="3"/>
      <c r="S74" s="3"/>
      <c r="T74" s="3"/>
    </row>
    <row r="75" spans="1:20" ht="12.75">
      <c r="A75" s="3" t="s">
        <v>37</v>
      </c>
      <c r="B75" s="2">
        <v>0.084</v>
      </c>
      <c r="L75"/>
      <c r="N75" s="3"/>
      <c r="O75" s="3"/>
      <c r="P75" s="3"/>
      <c r="Q75" s="3"/>
      <c r="R75" s="3"/>
      <c r="S75" s="3"/>
      <c r="T75" s="3"/>
    </row>
    <row r="76" spans="1:20" ht="12.75">
      <c r="A76" s="3" t="s">
        <v>189</v>
      </c>
      <c r="B76" s="2" t="s">
        <v>210</v>
      </c>
      <c r="L76"/>
      <c r="N76" s="3"/>
      <c r="O76" s="3"/>
      <c r="P76" s="3"/>
      <c r="Q76" s="3"/>
      <c r="R76" s="3"/>
      <c r="S76" s="3"/>
      <c r="T76" s="3"/>
    </row>
    <row r="77" spans="1:20" ht="12.75">
      <c r="A77" s="3" t="s">
        <v>211</v>
      </c>
      <c r="B77" s="2" t="s">
        <v>212</v>
      </c>
      <c r="L77"/>
      <c r="N77" s="3"/>
      <c r="O77" s="3"/>
      <c r="P77" s="3"/>
      <c r="Q77" s="3"/>
      <c r="R77" s="3"/>
      <c r="S77" s="3"/>
      <c r="T77" s="3"/>
    </row>
    <row r="78" spans="1:20" ht="12.75">
      <c r="A78" s="3" t="s">
        <v>233</v>
      </c>
      <c r="B78" t="s">
        <v>234</v>
      </c>
      <c r="L78"/>
      <c r="N78" s="3"/>
      <c r="O78" s="3"/>
      <c r="P78" s="3"/>
      <c r="Q78" s="3"/>
      <c r="R78" s="3"/>
      <c r="S78" s="3"/>
      <c r="T78" s="3"/>
    </row>
    <row r="79" spans="1:20" ht="12.75">
      <c r="A79" s="3"/>
      <c r="B79" s="2"/>
      <c r="L79"/>
      <c r="N79" s="3"/>
      <c r="O79" s="3"/>
      <c r="P79" s="3"/>
      <c r="Q79" s="3"/>
      <c r="R79" s="3"/>
      <c r="S79" s="3"/>
      <c r="T79" s="3"/>
    </row>
    <row r="80" spans="1:20" ht="12.75">
      <c r="A80" s="3" t="s">
        <v>265</v>
      </c>
      <c r="B80"/>
      <c r="L80"/>
      <c r="N80" s="3"/>
      <c r="O80" s="3"/>
      <c r="P80" s="3"/>
      <c r="Q80" s="3"/>
      <c r="R80" s="3"/>
      <c r="S80" s="3"/>
      <c r="T80" s="3"/>
    </row>
    <row r="81" spans="1:20" ht="12.75">
      <c r="A81" s="3"/>
      <c r="B81"/>
      <c r="L81"/>
      <c r="N81" s="3"/>
      <c r="O81" s="3"/>
      <c r="P81" s="3"/>
      <c r="Q81" s="3"/>
      <c r="R81" s="3"/>
      <c r="S81" s="3"/>
      <c r="T81" s="3"/>
    </row>
    <row r="82" spans="1:20" ht="12.75">
      <c r="A82" s="3" t="s">
        <v>39</v>
      </c>
      <c r="B82"/>
      <c r="L82"/>
      <c r="N82" s="3"/>
      <c r="O82" s="3"/>
      <c r="P82" s="3"/>
      <c r="Q82" s="3"/>
      <c r="R82" s="3"/>
      <c r="S82" s="3"/>
      <c r="T82" s="3"/>
    </row>
    <row r="83" spans="1:12" ht="12.75">
      <c r="A83" s="3"/>
      <c r="B83"/>
      <c r="L83"/>
    </row>
    <row r="84" spans="1:12" ht="12.75">
      <c r="A84" s="3"/>
      <c r="B84"/>
      <c r="L84"/>
    </row>
    <row r="85" spans="1:12" ht="12.75">
      <c r="A85" s="3"/>
      <c r="B85"/>
      <c r="L85"/>
    </row>
    <row r="86" spans="1:12" ht="12.75">
      <c r="A86" s="3"/>
      <c r="B86"/>
      <c r="L86"/>
    </row>
    <row r="87" spans="1:12" ht="12.75">
      <c r="A87" s="3"/>
      <c r="B87"/>
      <c r="L87"/>
    </row>
    <row r="88" spans="1:12" ht="12.75">
      <c r="A88" s="3"/>
      <c r="B88" s="2"/>
      <c r="L88"/>
    </row>
    <row r="89" spans="1:12" ht="12.75">
      <c r="A89" s="3"/>
      <c r="B89"/>
      <c r="L89"/>
    </row>
    <row r="90" spans="1:12" ht="12.75">
      <c r="A90" s="3"/>
      <c r="B90"/>
      <c r="L90"/>
    </row>
    <row r="91" spans="1:12" ht="12.75">
      <c r="A91" s="3"/>
      <c r="B91"/>
      <c r="L91"/>
    </row>
    <row r="92" spans="1:12" ht="12.75">
      <c r="A92" s="3"/>
      <c r="B92"/>
      <c r="L92"/>
    </row>
    <row r="93" spans="1:12" ht="12.75">
      <c r="A93" s="3"/>
      <c r="B93"/>
      <c r="L93"/>
    </row>
    <row r="94" spans="1:12" ht="12.75">
      <c r="A94" s="3"/>
      <c r="B94"/>
      <c r="L94"/>
    </row>
    <row r="95" spans="1:12" ht="12.75">
      <c r="A95" s="3"/>
      <c r="B95"/>
      <c r="L9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4"/>
  <sheetViews>
    <sheetView workbookViewId="0" topLeftCell="A1">
      <selection activeCell="A3" sqref="A3"/>
    </sheetView>
  </sheetViews>
  <sheetFormatPr defaultColWidth="9.140625" defaultRowHeight="12.75"/>
  <cols>
    <col min="1" max="1" width="28.140625" style="0" customWidth="1"/>
    <col min="2" max="2" width="16.28125" style="0" customWidth="1"/>
    <col min="3" max="3" width="16.28125" style="7" customWidth="1"/>
    <col min="4" max="4" width="10.140625" style="0" customWidth="1"/>
    <col min="5" max="6" width="7.28125" style="0" bestFit="1" customWidth="1"/>
    <col min="7" max="7" width="12.140625" style="0" bestFit="1" customWidth="1"/>
  </cols>
  <sheetData>
    <row r="1" ht="12.75">
      <c r="A1" t="s">
        <v>264</v>
      </c>
    </row>
    <row r="2" spans="1:3" ht="12.75">
      <c r="A2">
        <f ca="1">MATCH(B2,OFFSET(miStock,0,0,,1),0)</f>
        <v>23</v>
      </c>
      <c r="B2" t="s">
        <v>43</v>
      </c>
      <c r="C2" s="7" t="str">
        <f ca="1">OFFSET(wqMIStock!miStock,A2,0,1,1)</f>
        <v>Sysco Corp.</v>
      </c>
    </row>
    <row r="3" ht="12.75">
      <c r="C3" s="29">
        <f ca="1">MATCH(MAX(OFFSET(miStock,A4-1,0,1,99)),OFFSET(miStock,A4-1,0,1,99),0)-1</f>
        <v>3</v>
      </c>
    </row>
    <row r="4" spans="1:3" ht="12.75">
      <c r="A4">
        <f ca="1">MATCH(B4,OFFSET(miStock,0,0,,1),0)</f>
        <v>34</v>
      </c>
      <c r="B4" t="s">
        <v>46</v>
      </c>
      <c r="C4" s="7">
        <f ca="1">OFFSET(wqMIStock!miStock,A4-1,$C$3,1,1)</f>
        <v>574.5</v>
      </c>
    </row>
    <row r="5" spans="1:4" ht="12.75">
      <c r="A5">
        <f ca="1">MATCH(B5,OFFSET(miStock,0,0,,1),0)</f>
        <v>44</v>
      </c>
      <c r="B5" t="s">
        <v>24</v>
      </c>
      <c r="C5" s="7">
        <f ca="1">OFFSET(wqMIStock!miStock,A5-1,$C$3,1,1)</f>
        <v>98</v>
      </c>
      <c r="D5" s="7"/>
    </row>
    <row r="6" spans="1:4" ht="12.75">
      <c r="A6">
        <f ca="1">MATCH(B6,OFFSET(miStock,0,0,,1),0)</f>
        <v>30</v>
      </c>
      <c r="B6" t="s">
        <v>45</v>
      </c>
      <c r="C6" s="7">
        <f ca="1">OFFSET(wqMIStock!miStock,A6-1,$C$3,1,1)</f>
        <v>37612</v>
      </c>
      <c r="D6">
        <f>IF(ISERROR(C6),C7,C6)</f>
        <v>37612</v>
      </c>
    </row>
    <row r="7" spans="1:3" ht="12.75">
      <c r="A7" t="e">
        <f ca="1">MATCH(B7,OFFSET(miStock,0,0,,1),0)</f>
        <v>#N/A</v>
      </c>
      <c r="B7" t="s">
        <v>205</v>
      </c>
      <c r="C7" s="7" t="e">
        <f ca="1">OFFSET(wqMIStock!miStock,A7-1,$C$3,1,1)</f>
        <v>#N/A</v>
      </c>
    </row>
    <row r="8" spans="1:2" ht="12.75">
      <c r="A8">
        <f ca="1">MATCH(B8,OFFSET(miStock,$A$2-1,0,1,),0)</f>
        <v>1</v>
      </c>
      <c r="B8" t="s">
        <v>43</v>
      </c>
    </row>
    <row r="9" spans="1:3" ht="12.75">
      <c r="A9">
        <f ca="1">MATCH(B9,OFFSET(miStock,$A$2-1,0,1,),0)-1</f>
        <v>2</v>
      </c>
      <c r="B9" t="s">
        <v>44</v>
      </c>
      <c r="C9" s="7" t="str">
        <f ca="1">OFFSET(wqMIStock!miStock,rowoffsetStock,A9,1,1)</f>
        <v>Food (Retail)</v>
      </c>
    </row>
    <row r="10" ht="12.75">
      <c r="B10" s="19" t="s">
        <v>42</v>
      </c>
    </row>
    <row r="11" spans="1:3" ht="12.75">
      <c r="A11" t="s">
        <v>0</v>
      </c>
      <c r="C11"/>
    </row>
    <row r="12" spans="1:3" ht="12.75">
      <c r="A12" t="s">
        <v>1</v>
      </c>
      <c r="C12"/>
    </row>
    <row r="13" spans="1:3" ht="12.75">
      <c r="A13" t="s">
        <v>2</v>
      </c>
      <c r="C13"/>
    </row>
    <row r="14" spans="1:3" ht="12.75">
      <c r="A14" t="s">
        <v>3</v>
      </c>
      <c r="C14"/>
    </row>
    <row r="15" spans="1:3" ht="12.75">
      <c r="A15" t="s">
        <v>4</v>
      </c>
      <c r="C15"/>
    </row>
    <row r="16" spans="1:3" ht="12.75">
      <c r="A16" t="s">
        <v>5</v>
      </c>
      <c r="C16"/>
    </row>
    <row r="17" spans="1:3" ht="12.75">
      <c r="A17" t="s">
        <v>6</v>
      </c>
      <c r="C17"/>
    </row>
    <row r="18" spans="1:3" ht="12.75">
      <c r="A18" t="s">
        <v>7</v>
      </c>
      <c r="C18"/>
    </row>
    <row r="19" spans="1:3" ht="12.75">
      <c r="A19" t="s">
        <v>8</v>
      </c>
      <c r="C19"/>
    </row>
    <row r="20" spans="1:3" ht="12.75">
      <c r="A20" t="s">
        <v>9</v>
      </c>
      <c r="C20"/>
    </row>
    <row r="21" spans="1:3" ht="12.75">
      <c r="A21" t="s">
        <v>10</v>
      </c>
      <c r="C21"/>
    </row>
    <row r="22" spans="1:3" ht="12.75">
      <c r="A22" t="s">
        <v>268</v>
      </c>
      <c r="C22"/>
    </row>
    <row r="23" spans="1:3" ht="12.75">
      <c r="A23" t="s">
        <v>269</v>
      </c>
      <c r="C23"/>
    </row>
    <row r="24" spans="1:3" ht="12.75">
      <c r="A24" t="s">
        <v>270</v>
      </c>
      <c r="C24"/>
    </row>
    <row r="25" ht="12.75">
      <c r="C25"/>
    </row>
    <row r="26" spans="1:3" ht="12.75">
      <c r="A26" t="s">
        <v>271</v>
      </c>
      <c r="C26"/>
    </row>
    <row r="27" ht="12.75">
      <c r="C27"/>
    </row>
    <row r="28" spans="1:3" ht="12.75">
      <c r="A28" t="s">
        <v>272</v>
      </c>
      <c r="C28"/>
    </row>
    <row r="29" ht="12.75">
      <c r="C29"/>
    </row>
    <row r="30" spans="1:3" ht="12.75">
      <c r="A30" t="s">
        <v>273</v>
      </c>
      <c r="C30"/>
    </row>
    <row r="31" spans="1:3" ht="12.75">
      <c r="A31" t="s">
        <v>274</v>
      </c>
      <c r="C31"/>
    </row>
    <row r="32" ht="12.75">
      <c r="C32"/>
    </row>
    <row r="33" spans="1:5" ht="12.75">
      <c r="A33" t="s">
        <v>43</v>
      </c>
      <c r="B33" t="s">
        <v>273</v>
      </c>
      <c r="C33" t="s">
        <v>44</v>
      </c>
      <c r="D33" t="s">
        <v>21</v>
      </c>
      <c r="E33" t="s">
        <v>17</v>
      </c>
    </row>
    <row r="34" spans="1:5" ht="12.75">
      <c r="A34" t="s">
        <v>263</v>
      </c>
      <c r="B34" t="s">
        <v>264</v>
      </c>
      <c r="C34" t="s">
        <v>289</v>
      </c>
      <c r="D34">
        <v>80.1</v>
      </c>
      <c r="E34" s="2">
        <v>0.135</v>
      </c>
    </row>
    <row r="35" ht="12.75">
      <c r="C35"/>
    </row>
    <row r="36" spans="1:4" ht="12.75">
      <c r="A36" t="s">
        <v>303</v>
      </c>
      <c r="C36"/>
      <c r="D36" s="1">
        <v>29</v>
      </c>
    </row>
    <row r="37" spans="1:3" ht="12.75">
      <c r="A37" t="s">
        <v>275</v>
      </c>
      <c r="B37" s="1"/>
      <c r="C37"/>
    </row>
    <row r="38" ht="12.75">
      <c r="C38"/>
    </row>
    <row r="39" spans="1:3" ht="12.75">
      <c r="A39" t="s">
        <v>276</v>
      </c>
      <c r="C39"/>
    </row>
    <row r="40" spans="1:4" ht="12.75">
      <c r="A40" t="s">
        <v>45</v>
      </c>
      <c r="B40" s="2"/>
      <c r="C40"/>
      <c r="D40" s="5">
        <v>37612</v>
      </c>
    </row>
    <row r="41" spans="1:4" ht="12.75">
      <c r="A41" t="s">
        <v>277</v>
      </c>
      <c r="C41"/>
      <c r="D41" s="2">
        <v>0.074</v>
      </c>
    </row>
    <row r="42" spans="1:4" ht="12.75">
      <c r="A42" t="s">
        <v>278</v>
      </c>
      <c r="C42"/>
      <c r="D42" s="2">
        <v>0.032</v>
      </c>
    </row>
    <row r="43" spans="2:3" ht="12.75">
      <c r="B43" s="5"/>
      <c r="C43"/>
    </row>
    <row r="44" spans="1:4" ht="12.75">
      <c r="A44" t="s">
        <v>46</v>
      </c>
      <c r="B44" s="2"/>
      <c r="C44"/>
      <c r="D44" s="5">
        <v>574.5</v>
      </c>
    </row>
    <row r="45" spans="1:4" ht="12.75">
      <c r="A45" t="s">
        <v>279</v>
      </c>
      <c r="C45"/>
      <c r="D45" s="1">
        <v>2.99</v>
      </c>
    </row>
    <row r="46" spans="1:4" ht="12.75">
      <c r="A46" t="s">
        <v>22</v>
      </c>
      <c r="B46" s="5"/>
      <c r="C46"/>
      <c r="D46">
        <v>16</v>
      </c>
    </row>
    <row r="47" spans="1:4" ht="12.75">
      <c r="A47" t="s">
        <v>280</v>
      </c>
      <c r="B47" s="1"/>
      <c r="C47"/>
      <c r="D47" s="1">
        <v>47.83</v>
      </c>
    </row>
    <row r="48" ht="12.75">
      <c r="C48"/>
    </row>
    <row r="49" spans="1:4" ht="12.75">
      <c r="A49" t="s">
        <v>281</v>
      </c>
      <c r="B49" s="1"/>
      <c r="C49"/>
      <c r="D49" s="2">
        <v>0.105</v>
      </c>
    </row>
    <row r="50" spans="1:4" ht="12.75">
      <c r="A50" t="s">
        <v>282</v>
      </c>
      <c r="C50"/>
      <c r="D50" s="2">
        <v>0.03</v>
      </c>
    </row>
    <row r="51" spans="1:4" ht="12.75">
      <c r="A51" t="s">
        <v>36</v>
      </c>
      <c r="B51" s="2"/>
      <c r="C51"/>
      <c r="D51" s="2">
        <v>0.135</v>
      </c>
    </row>
    <row r="52" spans="2:3" ht="12.75">
      <c r="B52" s="2"/>
      <c r="C52"/>
    </row>
    <row r="53" spans="1:3" ht="12.75">
      <c r="A53" t="s">
        <v>21</v>
      </c>
      <c r="B53" s="2"/>
      <c r="C53"/>
    </row>
    <row r="54" spans="1:5" ht="12.75">
      <c r="A54" t="s">
        <v>24</v>
      </c>
      <c r="C54"/>
      <c r="D54">
        <v>98</v>
      </c>
      <c r="E54">
        <v>24.5</v>
      </c>
    </row>
    <row r="55" spans="1:5" ht="12.75">
      <c r="A55" t="s">
        <v>190</v>
      </c>
      <c r="C55"/>
      <c r="D55">
        <v>95</v>
      </c>
      <c r="E55">
        <v>23.8</v>
      </c>
    </row>
    <row r="56" spans="1:5" ht="12.75">
      <c r="A56" t="s">
        <v>283</v>
      </c>
      <c r="C56"/>
      <c r="D56" s="2">
        <v>0.058</v>
      </c>
      <c r="E56">
        <v>15.9</v>
      </c>
    </row>
    <row r="57" spans="1:5" ht="12.75">
      <c r="A57" t="s">
        <v>284</v>
      </c>
      <c r="C57"/>
      <c r="D57" s="2">
        <v>0.025</v>
      </c>
      <c r="E57">
        <v>16</v>
      </c>
    </row>
    <row r="58" spans="1:4" ht="12.75">
      <c r="A58" t="s">
        <v>285</v>
      </c>
      <c r="B58" s="2"/>
      <c r="C58"/>
      <c r="D58">
        <v>80.1</v>
      </c>
    </row>
    <row r="59" spans="2:3" ht="12.75">
      <c r="B59" s="2"/>
      <c r="C59"/>
    </row>
    <row r="60" spans="1:3" ht="12.75">
      <c r="A60" t="s">
        <v>286</v>
      </c>
      <c r="C60"/>
    </row>
    <row r="61" spans="1:3" ht="12.75">
      <c r="A61" t="s">
        <v>287</v>
      </c>
      <c r="C61"/>
    </row>
    <row r="62" spans="1:3" ht="12.75">
      <c r="A62" t="s">
        <v>304</v>
      </c>
      <c r="C62"/>
    </row>
    <row r="63" spans="1:3" ht="12.75">
      <c r="A63" t="s">
        <v>305</v>
      </c>
      <c r="C63"/>
    </row>
    <row r="64" ht="12.75">
      <c r="C64"/>
    </row>
    <row r="65" ht="12.75">
      <c r="C65"/>
    </row>
    <row r="66" spans="1:3" ht="12.75">
      <c r="A66" t="s">
        <v>288</v>
      </c>
      <c r="C66"/>
    </row>
    <row r="67" spans="1:3" ht="12.75">
      <c r="A67" t="s">
        <v>306</v>
      </c>
      <c r="C67"/>
    </row>
    <row r="68" spans="1:3" ht="12.75">
      <c r="A68" t="s">
        <v>307</v>
      </c>
      <c r="C68"/>
    </row>
    <row r="69" ht="12.75">
      <c r="C69"/>
    </row>
    <row r="70" ht="12.75">
      <c r="C70"/>
    </row>
    <row r="71" ht="12.75">
      <c r="C71"/>
    </row>
    <row r="72" spans="1:3" ht="12.75">
      <c r="A72" t="s">
        <v>299</v>
      </c>
      <c r="C72"/>
    </row>
    <row r="73" spans="1:3" ht="12.75">
      <c r="A73" t="s">
        <v>25</v>
      </c>
      <c r="B73" s="2"/>
      <c r="C73"/>
    </row>
    <row r="74" spans="1:3" ht="12.75">
      <c r="A74" t="s">
        <v>26</v>
      </c>
      <c r="B74" t="s">
        <v>27</v>
      </c>
      <c r="C74"/>
    </row>
    <row r="75" spans="1:3" ht="12.75">
      <c r="A75" t="s">
        <v>28</v>
      </c>
      <c r="B75" t="s">
        <v>29</v>
      </c>
      <c r="C75"/>
    </row>
    <row r="76" spans="1:3" ht="12.75">
      <c r="A76" t="s">
        <v>30</v>
      </c>
      <c r="B76" t="s">
        <v>31</v>
      </c>
      <c r="C76"/>
    </row>
    <row r="77" spans="1:3" ht="12.75">
      <c r="A77" t="s">
        <v>32</v>
      </c>
      <c r="B77" t="s">
        <v>33</v>
      </c>
      <c r="C77"/>
    </row>
    <row r="78" spans="1:3" ht="12.75">
      <c r="A78" t="s">
        <v>34</v>
      </c>
      <c r="C78"/>
    </row>
    <row r="79" spans="1:3" ht="12.75">
      <c r="A79" t="s">
        <v>28</v>
      </c>
      <c r="B79" t="s">
        <v>301</v>
      </c>
      <c r="C79"/>
    </row>
    <row r="80" spans="1:3" ht="12.75">
      <c r="A80" t="s">
        <v>35</v>
      </c>
      <c r="B80" t="s">
        <v>302</v>
      </c>
      <c r="C80"/>
    </row>
    <row r="81" spans="1:3" ht="12.75">
      <c r="A81" t="s">
        <v>17</v>
      </c>
      <c r="B81" t="s">
        <v>36</v>
      </c>
      <c r="C81"/>
    </row>
    <row r="82" spans="1:3" ht="12.75">
      <c r="A82" t="s">
        <v>37</v>
      </c>
      <c r="B82" s="2" t="s">
        <v>38</v>
      </c>
      <c r="C82"/>
    </row>
    <row r="83" spans="1:3" ht="12.75">
      <c r="A83" t="s">
        <v>37</v>
      </c>
      <c r="B83" s="2">
        <v>0.084</v>
      </c>
      <c r="C83"/>
    </row>
    <row r="84" spans="1:3" ht="12.75">
      <c r="A84" t="s">
        <v>189</v>
      </c>
      <c r="B84" s="2" t="s">
        <v>210</v>
      </c>
      <c r="C84"/>
    </row>
    <row r="85" spans="1:3" ht="12.75">
      <c r="A85" t="s">
        <v>211</v>
      </c>
      <c r="B85" t="s">
        <v>212</v>
      </c>
      <c r="C85"/>
    </row>
    <row r="86" spans="1:3" ht="12.75">
      <c r="A86" t="s">
        <v>233</v>
      </c>
      <c r="B86" t="s">
        <v>234</v>
      </c>
      <c r="C86"/>
    </row>
    <row r="87" ht="12.75">
      <c r="C87"/>
    </row>
    <row r="88" spans="1:3" ht="12.75">
      <c r="A88" t="s">
        <v>47</v>
      </c>
      <c r="C88"/>
    </row>
    <row r="89" ht="12.75">
      <c r="C89"/>
    </row>
    <row r="90" spans="1:3" ht="12.75">
      <c r="A90" t="s">
        <v>265</v>
      </c>
      <c r="C90"/>
    </row>
    <row r="91" ht="12.75">
      <c r="C91"/>
    </row>
    <row r="92" spans="1:3" ht="12.75">
      <c r="A92" t="s">
        <v>39</v>
      </c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spans="2:3" ht="12.75">
      <c r="B185" s="2"/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spans="2:3" ht="12.75">
      <c r="B195" s="2"/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JimT</dc:creator>
  <cp:keywords/>
  <dc:description/>
  <cp:lastModifiedBy>cjohnson06</cp:lastModifiedBy>
  <cp:lastPrinted>2006-08-09T22:31:00Z</cp:lastPrinted>
  <dcterms:created xsi:type="dcterms:W3CDTF">2006-04-16T15:11:17Z</dcterms:created>
  <dcterms:modified xsi:type="dcterms:W3CDTF">2010-11-19T16:03:49Z</dcterms:modified>
  <cp:category/>
  <cp:version/>
  <cp:contentType/>
  <cp:contentStatus/>
</cp:coreProperties>
</file>