
<file path=[Content_Types].xml><?xml version="1.0" encoding="utf-8"?>
<Types xmlns="http://schemas.openxmlformats.org/package/2006/content-types">
  <Default Extension="bin" ContentType="application/vnd.openxmlformats-officedocument.spreadsheetml.printerSettings"/>
  <Default Extension="png" ContentType="image/png"/>
  <Override PartName="/xl/queryTables/queryTable1.xml" ContentType="application/vnd.openxmlformats-officedocument.spreadsheetml.queryTable+xml"/>
  <Override PartName="/xl/queryTables/queryTable2.xml" ContentType="application/vnd.openxmlformats-officedocument.spreadsheetml.queryTable+xml"/>
  <Override PartName="/customXml/itemProps2.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xl/drawings/drawing1.xml" ContentType="application/vnd.openxmlformats-officedocument.drawing+xml"/>
  <Override PartName="/xl/queryTables/queryTable9.xml" ContentType="application/vnd.openxmlformats-officedocument.spreadsheetml.queryTable+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queryTables/queryTable7.xml" ContentType="application/vnd.openxmlformats-officedocument.spreadsheetml.queryTable+xml"/>
  <Override PartName="/xl/queryTables/queryTable8.xml" ContentType="application/vnd.openxmlformats-officedocument.spreadsheetml.queryTable+xml"/>
  <Override PartName="/xl/calcChain.xml" ContentType="application/vnd.openxmlformats-officedocument.spreadsheetml.calcChain+xml"/>
  <Override PartName="/xl/sharedStrings.xml" ContentType="application/vnd.openxmlformats-officedocument.spreadsheetml.sharedStrings+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90" yWindow="-30" windowWidth="9900" windowHeight="4635" tabRatio="704" activeTab="1"/>
  </bookViews>
  <sheets>
    <sheet name="Instructions" sheetId="41" r:id="rId1"/>
    <sheet name="Quick Analysis" sheetId="35" r:id="rId2"/>
    <sheet name="Data" sheetId="16" state="hidden" r:id="rId3"/>
    <sheet name="Peer companies" sheetId="43" state="hidden" r:id="rId4"/>
    <sheet name="Co description" sheetId="39" state="hidden" r:id="rId5"/>
    <sheet name="5 year ACE" sheetId="37" state="hidden" r:id="rId6"/>
    <sheet name="10 year data" sheetId="36" state="hidden" r:id="rId7"/>
    <sheet name="Cashflow" sheetId="14" state="hidden" r:id="rId8"/>
    <sheet name="Price" sheetId="19" state="hidden" r:id="rId9"/>
    <sheet name="Company name" sheetId="24" state="hidden" r:id="rId10"/>
    <sheet name="Income" sheetId="13" state="hidden" r:id="rId11"/>
    <sheet name="Balance Sheet" sheetId="15" state="hidden" r:id="rId12"/>
  </sheets>
  <definedNames>
    <definedName name="_10_year_annual_data" localSheetId="6">'10 year data'!#REF!</definedName>
    <definedName name="_10_year_annual_data_1" localSheetId="6">'10 year data'!$A$2:$G$12</definedName>
    <definedName name="_5_year_ace" localSheetId="5">'5 year ACE'!#REF!</definedName>
    <definedName name="_5_year_ace_1" localSheetId="5">'5 year ACE'!#REF!</definedName>
    <definedName name="_5_year_ace_2" localSheetId="5">'5 year ACE'!$A$2:$F$5</definedName>
    <definedName name="ACN" localSheetId="4">'Co description'!#REF!</definedName>
    <definedName name="ARLastYear">#REF!</definedName>
    <definedName name="ARThisYear">#REF!</definedName>
    <definedName name="balance_sheet" localSheetId="11">'Balance Sheet'!$A$2:$F$58</definedName>
    <definedName name="Cash">#REF!</definedName>
    <definedName name="CommonSharesLastYear">#REF!</definedName>
    <definedName name="CommonSharesThisYear">#REF!</definedName>
    <definedName name="Company_description" localSheetId="4">'Co description'!$A$2:$A$3</definedName>
    <definedName name="CompanyID">#REF!</definedName>
    <definedName name="CostsLastYear">#REF!</definedName>
    <definedName name="CostsThisYear">#REF!</definedName>
    <definedName name="CurrentPrice">#REF!</definedName>
    <definedName name="CurrentPriceDate">#REF!</definedName>
    <definedName name="Dividends">#REF!</definedName>
    <definedName name="earnest.asp?Page_EarningsGrowthRates_Symbol_T" localSheetId="5">'5 year ACE'!#REF!</definedName>
    <definedName name="InventoriesLastYear">#REF!</definedName>
    <definedName name="InventoriesThisYear">#REF!</definedName>
    <definedName name="Investments">#REF!</definedName>
    <definedName name="LTDebtLastYear">#REF!</definedName>
    <definedName name="LTDebtThisYEar">#REF!</definedName>
    <definedName name="MSN_Cashflow" localSheetId="7">Cashflow!$A$2:$G$71</definedName>
    <definedName name="msn_income_statement" localSheetId="10">Income!$A$2:$F$75</definedName>
    <definedName name="msn_Price_and_Company_name3_08" localSheetId="9">'Company name'!$A$2:$H$41</definedName>
    <definedName name="nDataItemsMissing">#REF!</definedName>
    <definedName name="NetCashOperationsLastYear">#REF!</definedName>
    <definedName name="NetCashOperationsThisYear">#REF!</definedName>
    <definedName name="NetProfitLastYear">#REF!</definedName>
    <definedName name="NetProfitThisYear">#REF!</definedName>
    <definedName name="ownership_insider_institutional">#REF!</definedName>
    <definedName name="PPEAcquisition">#REF!</definedName>
    <definedName name="PPELastYear">#REF!</definedName>
    <definedName name="PPEThisYear">#REF!</definedName>
    <definedName name="_xlnm.Print_Area" localSheetId="1">'Quick Analysis'!$B$1:$G$53</definedName>
    <definedName name="Print_Area_MI">#REF!</definedName>
    <definedName name="PTP">#REF!</definedName>
    <definedName name="RevenuesLastYear">#REF!</definedName>
    <definedName name="RevenuesThisYear">#REF!</definedName>
    <definedName name="rngBalanceSheet">#REF!</definedName>
    <definedName name="rngEarningsStatement">#REF!</definedName>
    <definedName name="rngOtherData">#REF!</definedName>
    <definedName name="statemnt.aspx?Symbol_ACN_lstStatement_10YearSummary_stmtView_Ann" localSheetId="6">'10 year data'!#REF!</definedName>
    <definedName name="TotalCurrentAssets">#REF!</definedName>
    <definedName name="TotalCurrentLiabilities">#REF!</definedName>
    <definedName name="TotalInterestCoverage">#REF!</definedName>
    <definedName name="TotalInterestPaidonDebt">#REF!</definedName>
    <definedName name="TotalStockholdersEquity">#REF!</definedName>
    <definedName name="Yahoo_Cashflow" localSheetId="7">Cashflow!#REF!</definedName>
    <definedName name="yahoo_competitors_quick_analysis" localSheetId="3">'Peer companies'!$A$2:$F$18</definedName>
    <definedName name="Yahoo_price___date_1" localSheetId="8">Price!$A$2:$B$9</definedName>
  </definedNames>
  <calcPr calcId="125725"/>
</workbook>
</file>

<file path=xl/calcChain.xml><?xml version="1.0" encoding="utf-8"?>
<calcChain xmlns="http://schemas.openxmlformats.org/spreadsheetml/2006/main">
  <c r="F29" i="36"/>
  <c r="B29"/>
  <c r="B70" i="16"/>
  <c r="F28" i="36"/>
  <c r="C70" i="16" s="1"/>
  <c r="F27" i="36"/>
  <c r="D70" i="16" s="1"/>
  <c r="J10" i="35" s="1"/>
  <c r="F26" i="36"/>
  <c r="E70" i="16" s="1"/>
  <c r="F25" i="36"/>
  <c r="F70" i="16" s="1"/>
  <c r="L10" i="35" s="1"/>
  <c r="F24" i="36"/>
  <c r="H70" i="16" s="1"/>
  <c r="F23" i="36"/>
  <c r="I70" i="16" s="1"/>
  <c r="N10" i="35" s="1"/>
  <c r="F22" i="36"/>
  <c r="J70" i="16" s="1"/>
  <c r="F21" i="36"/>
  <c r="K70" i="16" s="1"/>
  <c r="B69"/>
  <c r="B28" i="36"/>
  <c r="C69" i="16" s="1"/>
  <c r="B27" i="36"/>
  <c r="D69" i="16" s="1"/>
  <c r="B26" i="36"/>
  <c r="E69" i="16" s="1"/>
  <c r="B25" i="36"/>
  <c r="F69" i="16" s="1"/>
  <c r="B24" i="36"/>
  <c r="H69" i="16" s="1"/>
  <c r="B23" i="36"/>
  <c r="I69" i="16" s="1"/>
  <c r="B22" i="36"/>
  <c r="J69" i="16" s="1"/>
  <c r="B21" i="36"/>
  <c r="K69" i="16" s="1"/>
  <c r="F20" i="36"/>
  <c r="L70" i="16" s="1"/>
  <c r="B20" i="36"/>
  <c r="L69" i="16" s="1"/>
  <c r="B73"/>
  <c r="H32" i="35" s="1"/>
  <c r="A73" i="16"/>
  <c r="A1" i="37"/>
  <c r="A1" i="15"/>
  <c r="B2" i="16" s="1"/>
  <c r="L2" s="1"/>
  <c r="A1" i="13"/>
  <c r="A1" i="24"/>
  <c r="A1" i="19"/>
  <c r="A1" i="14"/>
  <c r="A1" i="36"/>
  <c r="A1" i="39"/>
  <c r="A1" i="43"/>
  <c r="B22"/>
  <c r="C22"/>
  <c r="D22"/>
  <c r="E22"/>
  <c r="B1" i="16"/>
  <c r="L1" s="1"/>
  <c r="C1"/>
  <c r="K1" s="1"/>
  <c r="D1"/>
  <c r="J1" s="1"/>
  <c r="E1"/>
  <c r="F1"/>
  <c r="H1" s="1"/>
  <c r="I1"/>
  <c r="A2"/>
  <c r="C2"/>
  <c r="D2"/>
  <c r="J2" s="1"/>
  <c r="E2"/>
  <c r="I2" s="1"/>
  <c r="F2"/>
  <c r="H2" s="1"/>
  <c r="K2"/>
  <c r="A3"/>
  <c r="B3"/>
  <c r="L3" s="1"/>
  <c r="C3"/>
  <c r="K3" s="1"/>
  <c r="D3"/>
  <c r="J3" s="1"/>
  <c r="E3"/>
  <c r="F3"/>
  <c r="H3" s="1"/>
  <c r="I3"/>
  <c r="A4"/>
  <c r="B4"/>
  <c r="C4"/>
  <c r="K4" s="1"/>
  <c r="D4"/>
  <c r="J4" s="1"/>
  <c r="E4"/>
  <c r="I4" s="1"/>
  <c r="F4"/>
  <c r="H4" s="1"/>
  <c r="L4"/>
  <c r="A5"/>
  <c r="B5"/>
  <c r="L5" s="1"/>
  <c r="C5"/>
  <c r="D5"/>
  <c r="J5" s="1"/>
  <c r="E5"/>
  <c r="I5"/>
  <c r="F5"/>
  <c r="H5"/>
  <c r="K5"/>
  <c r="A6"/>
  <c r="B6"/>
  <c r="C6"/>
  <c r="K6" s="1"/>
  <c r="D6"/>
  <c r="E6"/>
  <c r="I6" s="1"/>
  <c r="F6"/>
  <c r="H6" s="1"/>
  <c r="J6"/>
  <c r="L6"/>
  <c r="A7"/>
  <c r="B7"/>
  <c r="L7" s="1"/>
  <c r="C7"/>
  <c r="D7"/>
  <c r="J7" s="1"/>
  <c r="E7"/>
  <c r="I7" s="1"/>
  <c r="F7"/>
  <c r="H7" s="1"/>
  <c r="K7"/>
  <c r="A8"/>
  <c r="B8"/>
  <c r="C8"/>
  <c r="D8"/>
  <c r="E8"/>
  <c r="I8"/>
  <c r="F8"/>
  <c r="H8" s="1"/>
  <c r="J8"/>
  <c r="K8"/>
  <c r="L8"/>
  <c r="B16"/>
  <c r="L16" s="1"/>
  <c r="B17"/>
  <c r="F41"/>
  <c r="H41" s="1"/>
  <c r="E41"/>
  <c r="I41" s="1"/>
  <c r="D41"/>
  <c r="J41" s="1"/>
  <c r="C41"/>
  <c r="K41" s="1"/>
  <c r="B41"/>
  <c r="L41" s="1"/>
  <c r="F28"/>
  <c r="H28" s="1"/>
  <c r="E28"/>
  <c r="I28" s="1"/>
  <c r="D28"/>
  <c r="J28" s="1"/>
  <c r="C28"/>
  <c r="K28" s="1"/>
  <c r="B28"/>
  <c r="L28" s="1"/>
  <c r="H26" i="35" s="1"/>
  <c r="A13" i="16"/>
  <c r="B13"/>
  <c r="L13" s="1"/>
  <c r="C13"/>
  <c r="K13" s="1"/>
  <c r="D13"/>
  <c r="J13" s="1"/>
  <c r="E13"/>
  <c r="I13" s="1"/>
  <c r="F13"/>
  <c r="H13" s="1"/>
  <c r="A14"/>
  <c r="B14"/>
  <c r="L14" s="1"/>
  <c r="C14"/>
  <c r="K14" s="1"/>
  <c r="D14"/>
  <c r="J14" s="1"/>
  <c r="E14"/>
  <c r="F14"/>
  <c r="H14" s="1"/>
  <c r="I14"/>
  <c r="A15"/>
  <c r="B15"/>
  <c r="L15" s="1"/>
  <c r="C15"/>
  <c r="K15" s="1"/>
  <c r="D15"/>
  <c r="J15" s="1"/>
  <c r="E15"/>
  <c r="I15" s="1"/>
  <c r="F15"/>
  <c r="H15" s="1"/>
  <c r="A16"/>
  <c r="C16"/>
  <c r="K16" s="1"/>
  <c r="D16"/>
  <c r="J16" s="1"/>
  <c r="E16"/>
  <c r="I16" s="1"/>
  <c r="F16"/>
  <c r="H16" s="1"/>
  <c r="A17"/>
  <c r="C17"/>
  <c r="D17"/>
  <c r="E17"/>
  <c r="F17"/>
  <c r="A18"/>
  <c r="B18"/>
  <c r="C18"/>
  <c r="D18"/>
  <c r="E18"/>
  <c r="F18"/>
  <c r="F33"/>
  <c r="H33" s="1"/>
  <c r="E33"/>
  <c r="I33" s="1"/>
  <c r="D33"/>
  <c r="J33" s="1"/>
  <c r="C33"/>
  <c r="K33" s="1"/>
  <c r="K18" s="1"/>
  <c r="B33"/>
  <c r="L33" s="1"/>
  <c r="L18" s="1"/>
  <c r="A20"/>
  <c r="A21" s="1"/>
  <c r="B20"/>
  <c r="L20" s="1"/>
  <c r="C20"/>
  <c r="K20" s="1"/>
  <c r="D20"/>
  <c r="J20" s="1"/>
  <c r="E20"/>
  <c r="F20"/>
  <c r="H20" s="1"/>
  <c r="I20"/>
  <c r="F52"/>
  <c r="H52" s="1"/>
  <c r="H32"/>
  <c r="E52"/>
  <c r="I52" s="1"/>
  <c r="D52"/>
  <c r="J52" s="1"/>
  <c r="C52"/>
  <c r="K52" s="1"/>
  <c r="B52"/>
  <c r="L52" s="1"/>
  <c r="A25"/>
  <c r="B25"/>
  <c r="B27" s="1"/>
  <c r="C25"/>
  <c r="C27" s="1"/>
  <c r="D25"/>
  <c r="E25"/>
  <c r="F25"/>
  <c r="A26"/>
  <c r="B26"/>
  <c r="C26"/>
  <c r="A28"/>
  <c r="A33"/>
  <c r="A34"/>
  <c r="B34"/>
  <c r="L34" s="1"/>
  <c r="C34"/>
  <c r="D34"/>
  <c r="J34" s="1"/>
  <c r="E34"/>
  <c r="I34" s="1"/>
  <c r="F34"/>
  <c r="H34" s="1"/>
  <c r="H38" s="1"/>
  <c r="K34"/>
  <c r="A35"/>
  <c r="B35"/>
  <c r="C35"/>
  <c r="K35" s="1"/>
  <c r="D35"/>
  <c r="J35" s="1"/>
  <c r="E35"/>
  <c r="I35" s="1"/>
  <c r="F35"/>
  <c r="H35" s="1"/>
  <c r="L35"/>
  <c r="A57"/>
  <c r="A69"/>
  <c r="A70"/>
  <c r="A51"/>
  <c r="A52"/>
  <c r="A53"/>
  <c r="A64"/>
  <c r="A43"/>
  <c r="A44"/>
  <c r="A45"/>
  <c r="A46"/>
  <c r="A47"/>
  <c r="A48"/>
  <c r="B57"/>
  <c r="B68"/>
  <c r="H3" i="35" s="1"/>
  <c r="B51" i="16"/>
  <c r="B53"/>
  <c r="B64"/>
  <c r="B43"/>
  <c r="B44"/>
  <c r="B45"/>
  <c r="B46"/>
  <c r="B47"/>
  <c r="B48"/>
  <c r="C56"/>
  <c r="C51"/>
  <c r="C53"/>
  <c r="C43"/>
  <c r="C44"/>
  <c r="C45"/>
  <c r="K45" s="1"/>
  <c r="C46"/>
  <c r="C47"/>
  <c r="C48"/>
  <c r="C68"/>
  <c r="D56"/>
  <c r="D68"/>
  <c r="D51"/>
  <c r="D43"/>
  <c r="D44"/>
  <c r="D45"/>
  <c r="D46"/>
  <c r="D47"/>
  <c r="J47" s="1"/>
  <c r="D48"/>
  <c r="E56"/>
  <c r="E68"/>
  <c r="E51"/>
  <c r="E43"/>
  <c r="E44"/>
  <c r="E45"/>
  <c r="I45" s="1"/>
  <c r="E46"/>
  <c r="E47"/>
  <c r="E48"/>
  <c r="F56"/>
  <c r="F68"/>
  <c r="F51"/>
  <c r="H51" s="1"/>
  <c r="F43"/>
  <c r="F44"/>
  <c r="F45"/>
  <c r="H45" s="1"/>
  <c r="F46"/>
  <c r="F47"/>
  <c r="H47" s="1"/>
  <c r="F48"/>
  <c r="A37"/>
  <c r="B37"/>
  <c r="C37"/>
  <c r="D37"/>
  <c r="E37"/>
  <c r="F37"/>
  <c r="A39"/>
  <c r="B39"/>
  <c r="L39" s="1"/>
  <c r="C39"/>
  <c r="D39"/>
  <c r="J39" s="1"/>
  <c r="E39"/>
  <c r="I39" s="1"/>
  <c r="F39"/>
  <c r="H39" s="1"/>
  <c r="H40" s="1"/>
  <c r="K39"/>
  <c r="A40"/>
  <c r="B40"/>
  <c r="C40"/>
  <c r="D40"/>
  <c r="E40"/>
  <c r="F40"/>
  <c r="A41"/>
  <c r="J45"/>
  <c r="L45"/>
  <c r="I47"/>
  <c r="K47"/>
  <c r="L47"/>
  <c r="I51"/>
  <c r="J51"/>
  <c r="J53" s="1"/>
  <c r="K51"/>
  <c r="L51"/>
  <c r="L53" s="1"/>
  <c r="H68"/>
  <c r="M3" i="35" s="1"/>
  <c r="I68" i="16"/>
  <c r="N3" i="35" s="1"/>
  <c r="J68" i="16"/>
  <c r="O3" i="35" s="1"/>
  <c r="K68" i="16"/>
  <c r="P3" i="35" s="1"/>
  <c r="L68" i="16"/>
  <c r="B2" i="35"/>
  <c r="C3"/>
  <c r="D3"/>
  <c r="I3"/>
  <c r="J3"/>
  <c r="K3"/>
  <c r="L3"/>
  <c r="F40"/>
  <c r="D40"/>
  <c r="C41"/>
  <c r="E41"/>
  <c r="E42" s="1"/>
  <c r="B46"/>
  <c r="B47"/>
  <c r="B48"/>
  <c r="B50"/>
  <c r="F21" i="16"/>
  <c r="M15" i="35"/>
  <c r="L32" i="16"/>
  <c r="J32"/>
  <c r="A36"/>
  <c r="I18" l="1"/>
  <c r="D21"/>
  <c r="C21"/>
  <c r="B21"/>
  <c r="J18"/>
  <c r="H18"/>
  <c r="K26"/>
  <c r="J40"/>
  <c r="L38"/>
  <c r="N5" i="35"/>
  <c r="J15"/>
  <c r="K15"/>
  <c r="L40" i="16"/>
  <c r="J38"/>
  <c r="K32"/>
  <c r="K38" s="1"/>
  <c r="H10" i="35"/>
  <c r="I10"/>
  <c r="O10"/>
  <c r="M10"/>
  <c r="K10"/>
  <c r="K29" i="16"/>
  <c r="L22"/>
  <c r="I32"/>
  <c r="I40" s="1"/>
  <c r="I38"/>
  <c r="J22"/>
  <c r="I53"/>
  <c r="L54"/>
  <c r="I54"/>
  <c r="J54"/>
  <c r="F32" i="35"/>
  <c r="E32"/>
  <c r="B36" i="16"/>
  <c r="K53"/>
  <c r="H22"/>
  <c r="H53"/>
  <c r="L10"/>
  <c r="L12"/>
  <c r="L31"/>
  <c r="L42"/>
  <c r="J31"/>
  <c r="J42"/>
  <c r="J12"/>
  <c r="J10"/>
  <c r="H31"/>
  <c r="H42"/>
  <c r="H10"/>
  <c r="H12"/>
  <c r="L29"/>
  <c r="L26"/>
  <c r="H26"/>
  <c r="H29"/>
  <c r="J26"/>
  <c r="J29"/>
  <c r="L5" i="35"/>
  <c r="F36" i="16"/>
  <c r="H7" i="35"/>
  <c r="F7" s="1"/>
  <c r="J5"/>
  <c r="D36" i="16"/>
  <c r="H54"/>
  <c r="H15" i="35"/>
  <c r="F26"/>
  <c r="E26"/>
  <c r="K12" i="16"/>
  <c r="K10"/>
  <c r="K31"/>
  <c r="I12"/>
  <c r="I10"/>
  <c r="I31"/>
  <c r="I26"/>
  <c r="I29"/>
  <c r="P10" i="35"/>
  <c r="H12"/>
  <c r="F12" s="1"/>
  <c r="K5"/>
  <c r="E36" i="16"/>
  <c r="H5" i="35"/>
  <c r="I5"/>
  <c r="C36" i="16"/>
  <c r="P5" i="35"/>
  <c r="F10"/>
  <c r="K54" i="16"/>
  <c r="O5" i="35"/>
  <c r="M5"/>
  <c r="I15"/>
  <c r="E21" i="16"/>
  <c r="B9"/>
  <c r="H29" i="35" s="1"/>
  <c r="I42" i="16" l="1"/>
  <c r="K42"/>
  <c r="K22"/>
  <c r="I22"/>
  <c r="K40"/>
  <c r="H18" i="35" s="1"/>
  <c r="F15"/>
  <c r="H22"/>
  <c r="F22" s="1"/>
  <c r="E29"/>
  <c r="F29"/>
  <c r="F5"/>
  <c r="E22" l="1"/>
  <c r="E18"/>
  <c r="F18"/>
  <c r="F36" s="1"/>
  <c r="C39" l="1"/>
  <c r="Q36"/>
  <c r="F37"/>
  <c r="B43" s="1"/>
</calcChain>
</file>

<file path=xl/comments1.xml><?xml version="1.0" encoding="utf-8"?>
<comments xmlns="http://schemas.openxmlformats.org/spreadsheetml/2006/main">
  <authors>
    <author>Bob Adams</author>
  </authors>
  <commentList>
    <comment ref="F40" authorId="0">
      <text>
        <r>
          <rPr>
            <b/>
            <sz val="8"/>
            <color indexed="81"/>
            <rFont val="Tahoma"/>
            <family val="2"/>
          </rPr>
          <t>The PEG ratio is determined by dividing the Projected P/E by the Projected EPS Growth Rate.
Most investors are willing to pay a price up to a PEG of 1.5 if the market in growing in value.  In a contracting market a PEG of 1.2 is a more realistic maximum.  
The smaller the PEG the better the value.  But, of course, a number considerably less than 1 can mean there is news you aren't aware of.
Observe the direction (sentiment) of the market as a whole, as well as the industry the company is in, then judge the PEG for the individual company.</t>
        </r>
        <r>
          <rPr>
            <sz val="8"/>
            <color indexed="81"/>
            <rFont val="Tahoma"/>
            <family val="2"/>
          </rPr>
          <t xml:space="preserve">
</t>
        </r>
      </text>
    </comment>
    <comment ref="E42" authorId="0">
      <text>
        <r>
          <rPr>
            <b/>
            <sz val="8"/>
            <color indexed="81"/>
            <rFont val="Tahoma"/>
            <family val="2"/>
          </rPr>
          <t xml:space="preserve">See the Instructions page for information about the projected and target price.
</t>
        </r>
        <r>
          <rPr>
            <sz val="8"/>
            <color indexed="81"/>
            <rFont val="Tahoma"/>
            <family val="2"/>
          </rPr>
          <t xml:space="preserve">
</t>
        </r>
      </text>
    </comment>
  </commentList>
</comments>
</file>

<file path=xl/connections.xml><?xml version="1.0" encoding="utf-8"?>
<connections xmlns="http://schemas.openxmlformats.org/spreadsheetml/2006/main">
  <connection id="1" name="Connection" type="4" refreshedVersion="3" background="1" refreshOnLoad="1" saveData="1">
    <webPr parsePre="1" consecutive="1" xl2000="1" url="http://finance.yahoo.com/q/co?s=[&quot;symbol&quot;]" htmlTables="1">
      <tables count="3">
        <x v="13"/>
        <x v="16"/>
        <x v="18"/>
      </tables>
    </webPr>
    <parameters count="1">
      <parameter name="symbol" parameterType="cell" refreshOnChange="1" cell="'Peer companies'!$A$1"/>
    </parameters>
  </connection>
  <connection id="2" name="Connection1" type="4" refreshedVersion="3" background="1" saveData="1">
    <webPr sourceData="1" parsePre="1" consecutive="1" xl2000="1" url="http://stockreports.nasdaq.edgar-online.com/[&quot;symbol&quot;].html" htmlTables="1">
      <tables count="1">
        <x v="8"/>
      </tables>
    </webPr>
    <parameters count="1">
      <parameter name="symbol" parameterType="cell" refreshOnChange="1" cell="'Co description'!$A$1"/>
    </parameters>
  </connection>
  <connection id="3" name="Connection2" type="4" refreshedVersion="3" background="1" refreshOnLoad="1" saveData="1">
    <webPr sourceData="1" parsePre="1" consecutive="1" xl2000="1" url="http://moneycentral.msn.com/investor/invsub/analyst/earnest.asp?Page=EarningsGrowthRates&amp;Symbol=[&quot;symbol&quot;]" htmlTables="1">
      <tables count="1">
        <x v="3"/>
      </tables>
    </webPr>
    <parameters count="1">
      <parameter name="symbol" parameterType="cell" refreshOnChange="1" cell="'5 year ACE'!$A$1"/>
    </parameters>
  </connection>
  <connection id="4" name="Connection3" type="4" refreshedVersion="3" background="1" refreshOnLoad="1" saveData="1">
    <webPr sourceData="1" parsePre="1" consecutive="1" xl2000="1" url="http://moneycentral.msn.com/investor/invsub/results/statemnt.aspx?Symbol=[&quot;symbol&quot;]&amp;lstStatement=10YearSummary&amp;stmtView=Ann" htmlTables="1">
      <tables count="1">
        <s v="INCS"/>
      </tables>
    </webPr>
    <parameters count="1">
      <parameter name="symbol" parameterType="cell" refreshOnChange="1" cell="'10 year data'!$A$1"/>
    </parameters>
  </connection>
  <connection id="5" name="Connection4" type="4" refreshedVersion="3" background="1" refreshOnLoad="1" saveData="1">
    <webPr sourceData="1" parsePre="1" consecutive="1" xl2000="1" url="http://moneycentral.msn.com/investor/invsub/results/statemnt.aspx?Symbol=[&quot;symbol&quot;]&amp;lstStatement=CashFlow&amp;stmtView=Ann" htmlTables="1">
      <tables count="3">
        <x v="2"/>
        <s v="CompanyDetails"/>
        <x v="7"/>
      </tables>
    </webPr>
    <parameters count="1">
      <parameter name="symbol" parameterType="cell" refreshOnChange="1" cell="Cashflow!$A$1"/>
    </parameters>
  </connection>
  <connection id="6" name="Connection5" type="4" refreshedVersion="3" background="1" refreshOnLoad="1" saveData="1">
    <webPr sourceData="1" parsePre="1" consecutive="1" xl2000="1" url="http://finance.yahoo.com/q?s=[&quot;symbol&quot;]" htmlTables="1">
      <tables count="1">
        <s v="table1"/>
      </tables>
    </webPr>
    <parameters count="1">
      <parameter name="symbol" parameterType="cell" refreshOnChange="1" cell="Price!$A$1"/>
    </parameters>
  </connection>
  <connection id="7" name="Connection6" type="4" refreshedVersion="3" background="1" refreshOnLoad="1" saveData="1">
    <webPr sourceData="1" parsePre="1" consecutive="1" xl2000="1" url="http://moneycentral.msn.com/companyreport?Symbol=[&quot;symbol&quot;]" htmlTables="1">
      <tables count="2">
        <s v="pg"/>
        <x v="2"/>
      </tables>
    </webPr>
    <parameters count="1">
      <parameter name="symbol" parameterType="cell" refreshOnChange="1" cell="'Company name'!$A$1"/>
    </parameters>
  </connection>
  <connection id="8" name="Connection7" type="4" refreshedVersion="3" background="1" refreshOnLoad="1" saveData="1">
    <webPr sourceData="1" parsePre="1" consecutive="1" xl2000="1" url="http://moneycentral.msn.com/investor/invsub/results/statemnt.aspx?Symbol=US:[&quot;symbol&quot;]&amp;lstStatement=Income&amp;stmtView=Ann" htmlTables="1">
      <tables count="2">
        <s v="CompanyDetails"/>
        <x v="8"/>
      </tables>
    </webPr>
    <parameters count="1">
      <parameter name="symbol" parameterType="cell" refreshOnChange="1" cell="Income!$A$1"/>
    </parameters>
  </connection>
  <connection id="9" name="Connection8" type="4" refreshedVersion="3" background="1" refreshOnLoad="1" saveData="1">
    <webPr sourceData="1" parsePre="1" consecutive="1" xl2000="1" url="http://moneycentral.msn.com/investor/invsub/results/statemnt.aspx?Symbol=US:[&quot;symbol&quot;]&amp;lstStatement=Balance&amp;stmtView=Ann" htmlTables="1">
      <tables count="1">
        <x v="8"/>
      </tables>
    </webPr>
    <parameters count="1">
      <parameter name="symbol" parameterType="cell" refreshOnChange="1" cell="'Balance Sheet'!$A$1"/>
    </parameters>
  </connection>
</connections>
</file>

<file path=xl/sharedStrings.xml><?xml version="1.0" encoding="utf-8"?>
<sst xmlns="http://schemas.openxmlformats.org/spreadsheetml/2006/main" count="513" uniqueCount="379">
  <si>
    <t>NOTE:  You must be logged on to the Internet for the automatic data fill to work</t>
  </si>
  <si>
    <t>Data from Money.MSN.com</t>
  </si>
  <si>
    <t>[Net Income / Sales]</t>
  </si>
  <si>
    <t>[Net Income / Shareholder Equity]</t>
  </si>
  <si>
    <t>[Long Term Debt / Shareholder Equity]</t>
  </si>
  <si>
    <t>[Current Assets / Cirrent Liabilities]</t>
  </si>
  <si>
    <t>Accounts Receivable</t>
  </si>
  <si>
    <t>Change:</t>
  </si>
  <si>
    <t>Inventories</t>
  </si>
  <si>
    <t>Total Current Assets</t>
  </si>
  <si>
    <t>Total Current Liabilities</t>
  </si>
  <si>
    <t>Name or Symbol:</t>
  </si>
  <si>
    <t>Find Symbol</t>
  </si>
  <si>
    <t xml:space="preserve">  Print Report</t>
  </si>
  <si>
    <t>Intel Corporation: Financial Statement</t>
  </si>
  <si>
    <t>Business Type: Industry</t>
  </si>
  <si>
    <t>Financial statements are prepared in this standard format to allow direct comparisons of all companies and industries across multiple time frames.</t>
  </si>
  <si>
    <t>See 10K and 10Q SEC Filings for as reported statements</t>
  </si>
  <si>
    <t>Period End Date</t>
  </si>
  <si>
    <t>Period Length</t>
  </si>
  <si>
    <t>52 Weeks</t>
  </si>
  <si>
    <t>53 Weeks</t>
  </si>
  <si>
    <t>Stmt Source</t>
  </si>
  <si>
    <t>10-K</t>
  </si>
  <si>
    <t>Stmt Source Date</t>
  </si>
  <si>
    <t>Stmt Update Type</t>
  </si>
  <si>
    <t>Updated</t>
  </si>
  <si>
    <t>Net Income/Starting Line</t>
  </si>
  <si>
    <t>Depreciation/Depletion</t>
  </si>
  <si>
    <t>Amortization</t>
  </si>
  <si>
    <t>Deferred Taxes</t>
  </si>
  <si>
    <t>Non-Cash Items</t>
  </si>
  <si>
    <t>Unusual Items</t>
  </si>
  <si>
    <t>Purchased R&amp;D</t>
  </si>
  <si>
    <t>Other Non-Cash Items</t>
  </si>
  <si>
    <t>Changes in Working Capital</t>
  </si>
  <si>
    <t>Other Assets</t>
  </si>
  <si>
    <t>Accounts Payable</t>
  </si>
  <si>
    <t>Accrued Expenses</t>
  </si>
  <si>
    <t>Taxes Payable</t>
  </si>
  <si>
    <t>Other Assets &amp; Liabilities, Net</t>
  </si>
  <si>
    <t>Cash from Operating Activities</t>
  </si>
  <si>
    <t>Capital Expenditures</t>
  </si>
  <si>
    <t>Purchase of Fixed Assets</t>
  </si>
  <si>
    <t>Other Investing Cash Flow Items, Total</t>
  </si>
  <si>
    <t>Acquisition of Business</t>
  </si>
  <si>
    <t>Sale/Maturity of Investment</t>
  </si>
  <si>
    <t>Purchase of Investments</t>
  </si>
  <si>
    <t>Other Investing Cash Flow</t>
  </si>
  <si>
    <t>Cash from Investing Activities</t>
  </si>
  <si>
    <t>Financing Cash Flow Items</t>
  </si>
  <si>
    <t>Other Financing Cash Flow</t>
  </si>
  <si>
    <t>Total Cash Dividends Paid</t>
  </si>
  <si>
    <t>Issuance (Retirement) of Stock, Net</t>
  </si>
  <si>
    <t>Issuance (Retirement) of Debt, Net</t>
  </si>
  <si>
    <t>Cash from Financing Activities</t>
  </si>
  <si>
    <t>Foreign Exchange Effects</t>
  </si>
  <si>
    <t>Net Change in Cash</t>
  </si>
  <si>
    <t>Net Cash - Beginning Balance</t>
  </si>
  <si>
    <t>Net Cash - Ending Balance</t>
  </si>
  <si>
    <t>Prepaid Expenses</t>
  </si>
  <si>
    <t>Assets</t>
  </si>
  <si>
    <t>Cash and Short Term Investments</t>
  </si>
  <si>
    <t>Cash &amp; Equivalents</t>
  </si>
  <si>
    <t>Total Receivables, Net</t>
  </si>
  <si>
    <t>Accounts Receivable - Trade, Net</t>
  </si>
  <si>
    <t>Total Inventory</t>
  </si>
  <si>
    <t>Other Current Assets, Total</t>
  </si>
  <si>
    <t>Property/Plant/Equipment, Total - Net</t>
  </si>
  <si>
    <t>Goodwill, Net</t>
  </si>
  <si>
    <t>Intangibles, Net</t>
  </si>
  <si>
    <t>Long Term Investments</t>
  </si>
  <si>
    <t>Note Receivable - Long Term</t>
  </si>
  <si>
    <t>Other Long Term Assets, Total</t>
  </si>
  <si>
    <t>Other Assets, Total</t>
  </si>
  <si>
    <t>Total Assets</t>
  </si>
  <si>
    <t>Liabilities and Shareholders' Equity</t>
  </si>
  <si>
    <t>Payable/Accrued</t>
  </si>
  <si>
    <t>Notes Payable/Short Term Debt</t>
  </si>
  <si>
    <t>Current Port. of LT Debt/Capital Leases</t>
  </si>
  <si>
    <t>Other Current Liabilities, Total</t>
  </si>
  <si>
    <t>Total Long Term Debt</t>
  </si>
  <si>
    <t>Deferred Income Tax</t>
  </si>
  <si>
    <t>Minority Interest</t>
  </si>
  <si>
    <t>Other Liabilities, Total</t>
  </si>
  <si>
    <t>Total Liabilities</t>
  </si>
  <si>
    <t>Redeemable Preferred Stock</t>
  </si>
  <si>
    <t>Preferred Stock - Non Redeemable, Net</t>
  </si>
  <si>
    <t>Common Stock</t>
  </si>
  <si>
    <t>Retained Earnings (Accumulated Deficit)</t>
  </si>
  <si>
    <t>Other Equity, Total</t>
  </si>
  <si>
    <t>Total Equity</t>
  </si>
  <si>
    <t>Total Liabilities &amp; Shareholdersâ€™ Equity</t>
  </si>
  <si>
    <t>Total Common Shares Outstanding</t>
  </si>
  <si>
    <t>Total Preferred Shares Outstanding</t>
  </si>
  <si>
    <t>Industry</t>
  </si>
  <si>
    <t>Market Cap:</t>
  </si>
  <si>
    <t>N/A</t>
  </si>
  <si>
    <t>Employ­ees:</t>
  </si>
  <si>
    <t>Qtrly Rev Growth (yoy):</t>
  </si>
  <si>
    <t>Revenue (ttm):</t>
  </si>
  <si>
    <t>Gross Margin (ttm):</t>
  </si>
  <si>
    <t>EBITDA (ttm):</t>
  </si>
  <si>
    <t>Oper Margins (ttm):</t>
  </si>
  <si>
    <t>Net Income (ttm):</t>
  </si>
  <si>
    <t>EPS (ttm):</t>
  </si>
  <si>
    <t>P/E (ttm):</t>
  </si>
  <si>
    <t>PEG (5 yr expected):</t>
  </si>
  <si>
    <t>P/S (ttm):</t>
  </si>
  <si>
    <t>Cashflow</t>
  </si>
  <si>
    <t>Competitors</t>
  </si>
  <si>
    <t>Companies</t>
  </si>
  <si>
    <t>Last Trade:</t>
  </si>
  <si>
    <t>Trade Time:</t>
  </si>
  <si>
    <t>Prev Close:</t>
  </si>
  <si>
    <t>Open:</t>
  </si>
  <si>
    <t>Bid:</t>
  </si>
  <si>
    <t>Ask:</t>
  </si>
  <si>
    <t>1y Target Est:</t>
  </si>
  <si>
    <t>Price &amp; company name from Yahoo</t>
  </si>
  <si>
    <t>Add to WatchlistAdd to Watchlist</t>
  </si>
  <si>
    <t xml:space="preserve">Add to MSN ListAdd to MSN List </t>
  </si>
  <si>
    <t>Print reportPrint report</t>
  </si>
  <si>
    <t>Find financial results for:</t>
  </si>
  <si>
    <t>Change</t>
  </si>
  <si>
    <t>Reclassified</t>
  </si>
  <si>
    <t>advertisement</t>
  </si>
  <si>
    <t>Financials</t>
  </si>
  <si>
    <t>Last 12 Months</t>
  </si>
  <si>
    <t>5 Year Growth</t>
  </si>
  <si>
    <t>Sales</t>
  </si>
  <si>
    <t>Income</t>
  </si>
  <si>
    <t>Dividend Rate</t>
  </si>
  <si>
    <t>Dividend Yield</t>
  </si>
  <si>
    <t>More financials</t>
  </si>
  <si>
    <t>Fundamental Data</t>
  </si>
  <si>
    <t>Debt/Equity Ratio</t>
  </si>
  <si>
    <t>Gross Margin</t>
  </si>
  <si>
    <t>Net Profit Margin</t>
  </si>
  <si>
    <t>Total Shares Outstanding</t>
  </si>
  <si>
    <t>Market Capitalization</t>
  </si>
  <si>
    <t>Earnings/Share</t>
  </si>
  <si>
    <t>StockScouter Rating</t>
  </si>
  <si>
    <t>More financial ratios</t>
  </si>
  <si>
    <t>Stock Activity</t>
  </si>
  <si>
    <t>Last Price</t>
  </si>
  <si>
    <t>52 Week High</t>
  </si>
  <si>
    <t>52 Week Low</t>
  </si>
  <si>
    <t>Current P/E</t>
  </si>
  <si>
    <t>Volume</t>
  </si>
  <si>
    <t>Average Daily Volume (13wk)</t>
  </si>
  <si>
    <t>Forward P/E</t>
  </si>
  <si>
    <t>50 Day Moving Average</t>
  </si>
  <si>
    <t>200 Day Moving Average</t>
  </si>
  <si>
    <t>More analyst estimates</t>
  </si>
  <si>
    <t>Volatility (beta)</t>
  </si>
  <si>
    <t>Detailed quote</t>
  </si>
  <si>
    <t>Financial data in U.S. dollars</t>
  </si>
  <si>
    <t>Stock Price History</t>
  </si>
  <si>
    <t>Relative Strength</t>
  </si>
  <si>
    <t>Last 3 Months</t>
  </si>
  <si>
    <t>Last 6 Months</t>
  </si>
  <si>
    <t>Historical charts</t>
  </si>
  <si>
    <t>Institutional Statistics</t>
  </si>
  <si>
    <t>Analyst Consensus</t>
  </si>
  <si>
    <t>Institutional Ownership</t>
  </si>
  <si>
    <t>More Analyst Ratings</t>
  </si>
  <si>
    <t>Want to learn how to evaluate a stock? Walk through the steps using the Research Wizard.</t>
  </si>
  <si>
    <t>divided by 5</t>
  </si>
  <si>
    <t>Inventory turnover Ratio</t>
  </si>
  <si>
    <t>Total Revenue/Total Inventory</t>
  </si>
  <si>
    <t>Annual Income Statement</t>
  </si>
  <si>
    <t>Annual Balance Sheet Data</t>
  </si>
  <si>
    <t>Gross Margin--Annual</t>
  </si>
  <si>
    <t>Cash Flow</t>
  </si>
  <si>
    <t>Free Cash flow</t>
  </si>
  <si>
    <t>Revenues</t>
  </si>
  <si>
    <t>(Cash from Oper-PP&amp;E-Dividends)</t>
  </si>
  <si>
    <t xml:space="preserve">(Revenue-COGS)/Revenue </t>
  </si>
  <si>
    <t>Cash from Operations</t>
  </si>
  <si>
    <t xml:space="preserve">Quick Ratio </t>
  </si>
  <si>
    <t>Total Curr Assets/Total Curr Liabilities</t>
  </si>
  <si>
    <t>Current Ratio</t>
  </si>
  <si>
    <t>(Total Curr Ass-Inv)/Curr Liab</t>
  </si>
  <si>
    <t>ROA</t>
  </si>
  <si>
    <t>Net Income/Total Assets</t>
  </si>
  <si>
    <t>Return on Equity ROE</t>
  </si>
  <si>
    <t>Do not remove this line</t>
  </si>
  <si>
    <t>Cap expenditures as % of Sales</t>
  </si>
  <si>
    <t>Operating Margin</t>
  </si>
  <si>
    <t>(Operating Margin/Revenue</t>
  </si>
  <si>
    <t>(Net Income/Revenue</t>
  </si>
  <si>
    <t>ROC = Net Profit/(LT Debt+Equity)</t>
  </si>
  <si>
    <t>Last fiscal year reported</t>
  </si>
  <si>
    <t xml:space="preserve">Capitalization </t>
  </si>
  <si>
    <t>LONG-TERM DEBT AS % OF SHARE EQUITY:</t>
  </si>
  <si>
    <t>CURRENT ASSETS TO CURRENT LIABILITY RATIO:</t>
  </si>
  <si>
    <t>FUTURE EPS GROWTH PROJECTIONS:</t>
  </si>
  <si>
    <t>TOTAL SCORE</t>
  </si>
  <si>
    <t xml:space="preserve">    1 point each for any of the past 10 years in which sales increased (max 10 pts)</t>
  </si>
  <si>
    <t xml:space="preserve">    Doubling of sales in 5 years or less, 10 pts; subtract 2 points for each additional year</t>
  </si>
  <si>
    <t xml:space="preserve">    </t>
  </si>
  <si>
    <t xml:space="preserve">    1 point each for any of the past 5 years in which dividend increased (max 5 pts.)</t>
  </si>
  <si>
    <t xml:space="preserve">    10% or less: 5 pts</t>
  </si>
  <si>
    <t xml:space="preserve">    15 to 19%:  12 pts</t>
  </si>
  <si>
    <t>20% or more 15 pts</t>
  </si>
  <si>
    <t>11-14%          8 pts</t>
  </si>
  <si>
    <t>30-60%:  3 pts</t>
  </si>
  <si>
    <t>less than 30%: 5 pts</t>
  </si>
  <si>
    <t xml:space="preserve">    60% or more:  0 pts</t>
  </si>
  <si>
    <t xml:space="preserve">    Less than 1:  0 pts</t>
  </si>
  <si>
    <t>1-2:  3 pts</t>
  </si>
  <si>
    <t>more than 2:  5 pts</t>
  </si>
  <si>
    <t>60-79:  Average</t>
  </si>
  <si>
    <t>Less than 60:  below average</t>
  </si>
  <si>
    <t xml:space="preserve">    80-100: Superior</t>
  </si>
  <si>
    <t xml:space="preserve">    (If Dividend is not paid:  75-100 rated as Superior)</t>
  </si>
  <si>
    <t>EBIT</t>
  </si>
  <si>
    <t>Depreciation</t>
  </si>
  <si>
    <t>Total Net Income</t>
  </si>
  <si>
    <t>EPS</t>
  </si>
  <si>
    <t>Tax Rate (%)</t>
  </si>
  <si>
    <t>10 year data</t>
  </si>
  <si>
    <r>
      <t xml:space="preserve">PEG RATIO </t>
    </r>
    <r>
      <rPr>
        <sz val="10"/>
        <rFont val="Arial"/>
        <family val="2"/>
      </rPr>
      <t>(5 year projection)</t>
    </r>
  </si>
  <si>
    <t xml:space="preserve">Current Price: </t>
  </si>
  <si>
    <t>12 Month Target Price:</t>
  </si>
  <si>
    <t>SALES GROWTH HISTORY:</t>
  </si>
  <si>
    <t>SALES GROWTH RATE:</t>
  </si>
  <si>
    <t>EARNINGS PER SHARE (EPS) GROWTH HISTORY:</t>
  </si>
  <si>
    <t>EPS GROWTH RATE:</t>
  </si>
  <si>
    <t>DIVIDEND GROWTH HISTORY:</t>
  </si>
  <si>
    <t>3-YEAR OPERATING MARGIN (OM) RANGE:</t>
  </si>
  <si>
    <t>3-YEAR RETURN ON EQUITY (ROE) RANGE:</t>
  </si>
  <si>
    <t>This analysis form was produced by Dr. Karsh Meisheri and modified by Bob Adams</t>
  </si>
  <si>
    <r>
      <t xml:space="preserve">Quick Analysis  --  </t>
    </r>
    <r>
      <rPr>
        <b/>
        <sz val="12"/>
        <rFont val="Arial"/>
        <family val="2"/>
      </rPr>
      <t xml:space="preserve">a form created by </t>
    </r>
    <r>
      <rPr>
        <b/>
        <sz val="15"/>
        <rFont val="Arial"/>
        <family val="2"/>
      </rPr>
      <t>Karsh Meisheri</t>
    </r>
  </si>
  <si>
    <t>5 year ACE</t>
  </si>
  <si>
    <t>(either Total LT Debt or LT Debt works. Line above is used in calculation)</t>
  </si>
  <si>
    <t>Find Ticker Symbol</t>
  </si>
  <si>
    <t>Total Current Assets or Total Assets</t>
  </si>
  <si>
    <t>Assets to Liability ratio</t>
  </si>
  <si>
    <t xml:space="preserve">This form is designed primarily to analyze Retailers and Manufacturing companies.  </t>
  </si>
  <si>
    <t xml:space="preserve">1  Type a company ticker symbol into the cell indicated and press Enter.   </t>
  </si>
  <si>
    <t xml:space="preserve">3.  The company data is ready for analysis.  </t>
  </si>
  <si>
    <t>The "Projected 12 Month Target Price" is what the Analysts think the price will be in 12 months.  You should not put a lot of weight on this value when determining whether to buy or sell a company, but the percentage of growth in price could be a consideration when comparing companies.</t>
  </si>
  <si>
    <t>Click here for Instructions</t>
  </si>
  <si>
    <t>The Projected 12 Month Target Price represents an estimated increase of:</t>
  </si>
  <si>
    <t>2  Downloading of data will begin--notice the curser changes to an hour-glass symbol.  It will change to a + sign when downloading is complete.  [You must be signed on to the Internet before using this link.]</t>
  </si>
  <si>
    <t>Click here to return to the Analysis page</t>
  </si>
  <si>
    <t xml:space="preserve">    Doubling of EPS in 5 years or less, 10 pts; subtract 2 points for each additional year</t>
  </si>
  <si>
    <t xml:space="preserve">    1 point each for any of the past 10 years in which EPS increased (max 10 pts)</t>
  </si>
  <si>
    <r>
      <t xml:space="preserve">The </t>
    </r>
    <r>
      <rPr>
        <b/>
        <sz val="10"/>
        <rFont val="Arial"/>
        <family val="2"/>
      </rPr>
      <t>PEG ratio</t>
    </r>
    <r>
      <rPr>
        <sz val="10"/>
        <rFont val="Arial"/>
        <family val="2"/>
      </rPr>
      <t xml:space="preserve"> is a tool to help determine if the current price is a fair price to pay.  It's determined by dividing the P/E by the Projected EPS growth rate.  [The P/E (Price-Earnings Ratio) = Price / Earnings Per Share.  Projected EPS growth rate is the rate of growth the Analysts expect over the next five years.]</t>
    </r>
  </si>
  <si>
    <t>An ideal PEG is 1 or slightly less than 1. (The P/E and projected growth rate are approximately equal.) Most investors consider a PEG of less than 1.5 to be acceptable if the historical growth of sales and earnings are consistent and rising--but are aware they are paying a premium for the company.  A PEG of less than 1 is very positive but if less than approximately 0.85 the price is very low and may be low for a reason.  If so, what is the news about the company.  Is management warning of a downturn in the future.  Has a competitor developed a superior product or recently entered the competitive scene?</t>
  </si>
  <si>
    <t>If you need help in understanding an investment word or phrase click here to be taken to Investopedia.com</t>
  </si>
  <si>
    <t>Ticker Symbol</t>
  </si>
  <si>
    <t>Competitors: (Compare the results with the competitor companies shown below--then select the best)  "Pvt1" indicates the competitor is privately held.</t>
  </si>
  <si>
    <t>Income Statement</t>
  </si>
  <si>
    <t>Balance Sheet</t>
  </si>
  <si>
    <t>10 Year Summary</t>
  </si>
  <si>
    <t>Annual</t>
  </si>
  <si>
    <t>Interim</t>
  </si>
  <si>
    <t>Financial data in U.S. Dollars</t>
  </si>
  <si>
    <t>Values in Millions (Except for per share items)</t>
  </si>
  <si>
    <t>Data providers</t>
  </si>
  <si>
    <t>Copyright © 2009 Thomson Reuters. Click for Restrictions.</t>
  </si>
  <si>
    <t>Diluted Normalized EPS</t>
  </si>
  <si>
    <t>Basic Normalized EPS</t>
  </si>
  <si>
    <t>Normalized Income Available to Common</t>
  </si>
  <si>
    <t>Normalized Income After Taxes</t>
  </si>
  <si>
    <t>Normalized Income Before Tax</t>
  </si>
  <si>
    <t>Depreciation, Supplemental</t>
  </si>
  <si>
    <t>Gross Dividends - Common Stock</t>
  </si>
  <si>
    <t>Dividends per Share - Common Stock Primary Issue</t>
  </si>
  <si>
    <t>Diluted EPS Including Extraordinary Items</t>
  </si>
  <si>
    <t>Diluted EPS Excluding Extrordinary Items</t>
  </si>
  <si>
    <t>Diluted Weighted Average Shares</t>
  </si>
  <si>
    <t>Basic EPS Including Extraordinary Items</t>
  </si>
  <si>
    <t>Basic EPS Excluding Extraordinary Items</t>
  </si>
  <si>
    <t>Basic Weighted Average Shares</t>
  </si>
  <si>
    <t>General Partners' Distributions</t>
  </si>
  <si>
    <t>Preferred Dividends</t>
  </si>
  <si>
    <t>Total Adjustments to Net Income</t>
  </si>
  <si>
    <t>Net Income</t>
  </si>
  <si>
    <t>Total Extraordinary Items</t>
  </si>
  <si>
    <t>Net Income Before Extra. Items</t>
  </si>
  <si>
    <t>U.S. GAAP Adjustment</t>
  </si>
  <si>
    <t>Equity In Affiliates</t>
  </si>
  <si>
    <t>Income After Tax</t>
  </si>
  <si>
    <t>Income Tax - Total</t>
  </si>
  <si>
    <t>Income Before Tax</t>
  </si>
  <si>
    <t>Total Revenue</t>
  </si>
  <si>
    <t>Revenue</t>
  </si>
  <si>
    <t>Cost of Revenue, Total</t>
  </si>
  <si>
    <t>Gross Profit</t>
  </si>
  <si>
    <t>Selling/General/Administrative Expenses, Total</t>
  </si>
  <si>
    <t>Research &amp; Development</t>
  </si>
  <si>
    <t>Depreciation/Amortization</t>
  </si>
  <si>
    <t>Interest Expense (Income), Net Operating</t>
  </si>
  <si>
    <t>Unusual Expense (Income)</t>
  </si>
  <si>
    <t>Other Operating Expenses, Total</t>
  </si>
  <si>
    <t>Operating Income</t>
  </si>
  <si>
    <t>Interest Income (Expense), Net Non-Operating</t>
  </si>
  <si>
    <t>Gain (Loss) on Sale of Assets</t>
  </si>
  <si>
    <t>Other, Net</t>
  </si>
  <si>
    <t>Normalized EBITDA</t>
  </si>
  <si>
    <t>Normalized EBIT</t>
  </si>
  <si>
    <t xml:space="preserve">  Earnings Growth Rates</t>
  </si>
  <si>
    <t>Last 5 Years</t>
  </si>
  <si>
    <t>FY 2010</t>
  </si>
  <si>
    <t>Next 5 Years</t>
  </si>
  <si>
    <t>Company</t>
  </si>
  <si>
    <t>S&amp;P 500</t>
  </si>
  <si>
    <t>NA</t>
  </si>
  <si>
    <t>The PEG ratio helps determine if the current price is reasonable.  A ratio of 1 or less is very good, but if the TOTAL SCORE is Superior, and the PEG is greater than 1 but less than 1.5--and the market is bullish--a ratio of up to 1.5 may be acceptable.  Anything over 1.5 means you are overpaying for the company.</t>
  </si>
  <si>
    <r>
      <t>If you don't know the ticker symbol for the company click on the "</t>
    </r>
    <r>
      <rPr>
        <b/>
        <sz val="10"/>
        <rFont val="Arial"/>
        <family val="2"/>
      </rPr>
      <t>Find Ticker Symbol</t>
    </r>
    <r>
      <rPr>
        <sz val="10"/>
        <rFont val="Arial"/>
        <family val="2"/>
      </rPr>
      <t>" link at www.finance.yahoo.com.  When on the Yahoo site type in the name of the company you want to analyze in the indicated cell.  Note that as you type the name various companies will pop up.  Select the correct name and press the Enter key or click on "Get Quotes".  See the example below--the company name Intel has been entered.</t>
    </r>
  </si>
  <si>
    <t>www.finance.yahoo.com</t>
  </si>
  <si>
    <t>competitors are on lines 18-21</t>
  </si>
  <si>
    <t>with all data present, lines 5-21 are used with lines 3 &amp; 17 blank</t>
  </si>
  <si>
    <t>Line 4 contains tickers</t>
  </si>
  <si>
    <r>
      <t xml:space="preserve">What does the company do?  </t>
    </r>
    <r>
      <rPr>
        <sz val="10"/>
        <rFont val="Arial"/>
        <family val="2"/>
      </rPr>
      <t>(From  Yahoo.com)</t>
    </r>
  </si>
  <si>
    <t>Long Term Debt</t>
  </si>
  <si>
    <t>ACE from moneycentral.msn.com</t>
  </si>
  <si>
    <t>Amortization of Intangibles</t>
  </si>
  <si>
    <t>Accounts Receivable - Trade, Gross</t>
  </si>
  <si>
    <t>Provision for Doubtful Accounts</t>
  </si>
  <si>
    <t>Earnings Estimates  fyi</t>
  </si>
  <si>
    <t>data below is a copy of above data.  Do not remove these data</t>
  </si>
  <si>
    <t>version 1.32x</t>
  </si>
  <si>
    <t>Moderate Buy</t>
  </si>
  <si>
    <t>FY 2011</t>
  </si>
  <si>
    <t>10 P/E</t>
  </si>
  <si>
    <t>Short Term Investments</t>
  </si>
  <si>
    <t>Quotes supplied by Interactive Data Real-Time Services.</t>
  </si>
  <si>
    <t>CSCO</t>
  </si>
  <si>
    <t>ALU</t>
  </si>
  <si>
    <t>HPQ</t>
  </si>
  <si>
    <t>JNPR</t>
  </si>
  <si>
    <t>132.81B</t>
  </si>
  <si>
    <t>9.63B</t>
  </si>
  <si>
    <t>109.24B</t>
  </si>
  <si>
    <t>13.83B</t>
  </si>
  <si>
    <t>269.82M</t>
  </si>
  <si>
    <t>36.12B</t>
  </si>
  <si>
    <t>117.21B</t>
  </si>
  <si>
    <t>3.42B</t>
  </si>
  <si>
    <t>176.33M</t>
  </si>
  <si>
    <t>9.15B</t>
  </si>
  <si>
    <t>15.44B</t>
  </si>
  <si>
    <t>737.52M</t>
  </si>
  <si>
    <t>9.01M</t>
  </si>
  <si>
    <t>6.13B</t>
  </si>
  <si>
    <t>7.32B</t>
  </si>
  <si>
    <t>291.29M</t>
  </si>
  <si>
    <t>COMPUTER HARDWARE (US) RANKED BY SALES</t>
  </si>
  <si>
    <t xml:space="preserve">We design, manufacture, and sell Internet Protocol (IP)-based networking and other products related to the communications and information technology industry and provide services associated with these products and their use. We provide a broad line of products for transporting data, voice, and video within buildings, across campuses, and around the world, which are designed to transform how people, connect, communicate, and collaborate. Our products, which include primarily routers, switches, and products that we refer to as our advanced technologies, are installed at large enterprises, public institutions, telecommunications companies, commercial businesses and personal residences. We conduct our business globally and are managed geographically in five segments: the United States and Canada; European Markets; Emerging Markets; Asia Pacific; and Japan.  ... More ...  </t>
  </si>
  <si>
    <t>Cisco Systems Inc: Financial Statement</t>
  </si>
  <si>
    <t>Other Liabilities</t>
  </si>
  <si>
    <t>Up 0.27 (1.19%)</t>
  </si>
  <si>
    <t>22.95 x 100</t>
  </si>
  <si>
    <t>23.10 x 100</t>
  </si>
  <si>
    <t>Cisco Systems Inc: Company Report</t>
  </si>
  <si>
    <t>170 West Tasman Drive</t>
  </si>
  <si>
    <t>San Jose CA 95134</t>
  </si>
  <si>
    <t>http://www.cisco.com/</t>
  </si>
  <si>
    <t>Phone: 408-5264000</t>
  </si>
  <si>
    <t>Industry : Networking &amp; Communication Devices</t>
  </si>
  <si>
    <t>Employees : 65,550</t>
  </si>
  <si>
    <t>Exchange : NASDAQ</t>
  </si>
  <si>
    <t>Cisco Systems, Inc. designs, manufactures and sells Internet protocol (IP)-based networking and other products related to the communications and information technology (IT) industry, and provides services associated with these products and their use. The Company provides a line of products for transporting data, voice, and video within buildings, across campuses, and around the world. Its products are designed to transform how people connect, communicate and collaborate. The Company’s products are installed at enterprise businesses, public institutions, telecommunications companies, commercial businesses and personal residences. It has five segments: United States and Canada, European Markets, Emerging Markets, Asia Pacific, and Japan. The Emerging Markets theater consists of Eastern Europe, Latin America, the Middle East and Africa and Russia and the Commonwealth of Independent States.</t>
  </si>
  <si>
    <t>38.75 Mil</t>
  </si>
  <si>
    <t>49.66 Mil</t>
  </si>
  <si>
    <t>36.1 Bil</t>
  </si>
  <si>
    <t>6.1 Bil</t>
  </si>
  <si>
    <t>5.8 Bil</t>
  </si>
  <si>
    <t>132.88 Bil</t>
  </si>
  <si>
    <t>Qtr(10/09) EPS Estimate</t>
  </si>
  <si>
    <t>FY(7/10) EPS Estimate</t>
  </si>
  <si>
    <t>FY(7/11) EPS Estimate</t>
  </si>
  <si>
    <t>Next Earnings Release: November 4</t>
  </si>
  <si>
    <t>Interest Expense, Supplemental</t>
  </si>
</sst>
</file>

<file path=xl/styles.xml><?xml version="1.0" encoding="utf-8"?>
<styleSheet xmlns="http://schemas.openxmlformats.org/spreadsheetml/2006/main">
  <numFmts count="4">
    <numFmt numFmtId="43" formatCode="_(* #,##0.00_);_(* \(#,##0.00\);_(* &quot;-&quot;??_);_(@_)"/>
    <numFmt numFmtId="164" formatCode="0.0"/>
    <numFmt numFmtId="165" formatCode="0.0%"/>
    <numFmt numFmtId="166" formatCode="[$-409]mmm\-yy;@"/>
  </numFmts>
  <fonts count="27">
    <font>
      <sz val="10"/>
      <name val="Courier"/>
    </font>
    <font>
      <sz val="10"/>
      <name val="Arial"/>
      <family val="2"/>
    </font>
    <font>
      <u/>
      <sz val="7.5"/>
      <color indexed="12"/>
      <name val="Courier"/>
      <family val="3"/>
    </font>
    <font>
      <b/>
      <sz val="10"/>
      <name val="Arial"/>
      <family val="2"/>
    </font>
    <font>
      <sz val="8"/>
      <name val="Courier"/>
      <family val="3"/>
    </font>
    <font>
      <b/>
      <sz val="10"/>
      <name val="Courier"/>
      <family val="3"/>
    </font>
    <font>
      <b/>
      <sz val="12"/>
      <name val="Courier"/>
      <family val="3"/>
    </font>
    <font>
      <sz val="10"/>
      <name val="Arial"/>
      <family val="2"/>
    </font>
    <font>
      <sz val="12"/>
      <name val="Arial Narrow"/>
      <family val="2"/>
    </font>
    <font>
      <sz val="10"/>
      <name val="Arial Narrow"/>
      <family val="2"/>
    </font>
    <font>
      <b/>
      <sz val="12"/>
      <name val="Arial"/>
      <family val="2"/>
    </font>
    <font>
      <b/>
      <sz val="8"/>
      <name val="Arial"/>
      <family val="2"/>
    </font>
    <font>
      <sz val="10"/>
      <name val="Courier"/>
      <family val="3"/>
    </font>
    <font>
      <b/>
      <sz val="15"/>
      <name val="Arial"/>
      <family val="2"/>
    </font>
    <font>
      <i/>
      <sz val="10"/>
      <name val="Arial"/>
      <family val="2"/>
    </font>
    <font>
      <b/>
      <sz val="10"/>
      <color indexed="52"/>
      <name val="Arial"/>
      <family val="2"/>
    </font>
    <font>
      <sz val="8"/>
      <name val="Arial"/>
      <family val="2"/>
    </font>
    <font>
      <sz val="8"/>
      <color indexed="55"/>
      <name val="Arial"/>
      <family val="2"/>
    </font>
    <font>
      <sz val="7"/>
      <color indexed="12"/>
      <name val="Arial Narrow"/>
      <family val="2"/>
    </font>
    <font>
      <sz val="10"/>
      <color indexed="12"/>
      <name val="Arial Black"/>
      <family val="2"/>
    </font>
    <font>
      <sz val="10"/>
      <color indexed="23"/>
      <name val="Arial"/>
      <family val="2"/>
    </font>
    <font>
      <sz val="10"/>
      <name val="Courier"/>
      <family val="3"/>
    </font>
    <font>
      <sz val="8"/>
      <color indexed="81"/>
      <name val="Tahoma"/>
      <family val="2"/>
    </font>
    <font>
      <b/>
      <sz val="8"/>
      <color indexed="81"/>
      <name val="Tahoma"/>
      <family val="2"/>
    </font>
    <font>
      <b/>
      <sz val="10"/>
      <color indexed="12"/>
      <name val="Arial Narrow"/>
      <family val="2"/>
    </font>
    <font>
      <u/>
      <sz val="14"/>
      <color indexed="12"/>
      <name val="Calibri"/>
      <family val="2"/>
    </font>
    <font>
      <sz val="10"/>
      <name val="Calibri"/>
      <family val="2"/>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6"/>
        <bgColor indexed="64"/>
      </patternFill>
    </fill>
    <fill>
      <patternFill patternType="solid">
        <fgColor indexed="47"/>
        <bgColor indexed="64"/>
      </patternFill>
    </fill>
    <fill>
      <patternFill patternType="solid">
        <fgColor indexed="22"/>
        <bgColor indexed="64"/>
      </patternFill>
    </fill>
    <fill>
      <patternFill patternType="solid">
        <fgColor indexed="53"/>
        <bgColor indexed="64"/>
      </patternFill>
    </fill>
    <fill>
      <patternFill patternType="solid">
        <fgColor indexed="43"/>
        <bgColor indexed="64"/>
      </patternFill>
    </fill>
    <fill>
      <patternFill patternType="solid">
        <fgColor indexed="42"/>
        <bgColor indexed="64"/>
      </patternFill>
    </fill>
  </fills>
  <borders count="1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37">
    <xf numFmtId="0" fontId="0" fillId="0" borderId="0" xfId="0"/>
    <xf numFmtId="3" fontId="0" fillId="0" borderId="0" xfId="0" applyNumberFormat="1"/>
    <xf numFmtId="10" fontId="0" fillId="0" borderId="0" xfId="0" applyNumberFormat="1"/>
    <xf numFmtId="14" fontId="0" fillId="0" borderId="0" xfId="0" applyNumberFormat="1"/>
    <xf numFmtId="4" fontId="0" fillId="0" borderId="0" xfId="0" applyNumberFormat="1"/>
    <xf numFmtId="0" fontId="0" fillId="2" borderId="0" xfId="0" applyFill="1"/>
    <xf numFmtId="0" fontId="0" fillId="3" borderId="0" xfId="0" applyFill="1"/>
    <xf numFmtId="0" fontId="6" fillId="3" borderId="0" xfId="0" applyFont="1" applyFill="1"/>
    <xf numFmtId="0" fontId="3" fillId="0" borderId="0" xfId="0" applyFont="1"/>
    <xf numFmtId="0" fontId="7" fillId="0" borderId="0" xfId="0" applyFont="1"/>
    <xf numFmtId="0" fontId="8" fillId="0" borderId="0" xfId="0" applyFont="1" applyFill="1"/>
    <xf numFmtId="0" fontId="9" fillId="0" borderId="0" xfId="0" applyFont="1" applyAlignment="1">
      <alignment horizontal="right"/>
    </xf>
    <xf numFmtId="0" fontId="9" fillId="0" borderId="0" xfId="0" applyFont="1"/>
    <xf numFmtId="16" fontId="0" fillId="0" borderId="0" xfId="0" applyNumberFormat="1"/>
    <xf numFmtId="0" fontId="5" fillId="4" borderId="0" xfId="0" applyFont="1" applyFill="1"/>
    <xf numFmtId="9" fontId="0" fillId="0" borderId="0" xfId="3" applyFont="1"/>
    <xf numFmtId="0" fontId="5" fillId="0" borderId="0" xfId="0" applyFont="1" applyFill="1"/>
    <xf numFmtId="0" fontId="12" fillId="0" borderId="0" xfId="0" applyFont="1" applyFill="1"/>
    <xf numFmtId="0" fontId="0" fillId="0" borderId="0" xfId="0" applyFill="1"/>
    <xf numFmtId="0" fontId="0" fillId="0" borderId="0" xfId="0" applyAlignment="1">
      <alignment horizontal="right" indent="1"/>
    </xf>
    <xf numFmtId="3" fontId="0" fillId="0" borderId="0" xfId="0" applyNumberFormat="1" applyAlignment="1">
      <alignment horizontal="right" indent="1"/>
    </xf>
    <xf numFmtId="0" fontId="5" fillId="5" borderId="0" xfId="0" applyFont="1" applyFill="1"/>
    <xf numFmtId="0" fontId="0" fillId="4" borderId="0" xfId="0" applyFill="1"/>
    <xf numFmtId="0" fontId="0" fillId="6" borderId="0" xfId="0" applyFill="1"/>
    <xf numFmtId="14" fontId="0" fillId="6" borderId="0" xfId="0" applyNumberFormat="1" applyFill="1"/>
    <xf numFmtId="4" fontId="0" fillId="6" borderId="0" xfId="0" applyNumberFormat="1" applyFill="1"/>
    <xf numFmtId="165" fontId="0" fillId="0" borderId="0" xfId="3" applyNumberFormat="1" applyFont="1"/>
    <xf numFmtId="0" fontId="0" fillId="7" borderId="0" xfId="0" applyFill="1"/>
    <xf numFmtId="0" fontId="7" fillId="0" borderId="0" xfId="0" applyFont="1" applyBorder="1"/>
    <xf numFmtId="165" fontId="7" fillId="0" borderId="0" xfId="3" applyNumberFormat="1" applyFont="1"/>
    <xf numFmtId="2" fontId="7" fillId="0" borderId="0" xfId="0" applyNumberFormat="1" applyFont="1"/>
    <xf numFmtId="9" fontId="7" fillId="0" borderId="0" xfId="0" applyNumberFormat="1" applyFont="1"/>
    <xf numFmtId="0" fontId="0" fillId="8" borderId="0" xfId="0" applyFill="1"/>
    <xf numFmtId="9" fontId="7" fillId="0" borderId="0" xfId="3" applyFont="1"/>
    <xf numFmtId="164" fontId="7" fillId="0" borderId="0" xfId="0" applyNumberFormat="1" applyFont="1"/>
    <xf numFmtId="0" fontId="7" fillId="0" borderId="1" xfId="0" applyFont="1" applyBorder="1"/>
    <xf numFmtId="0" fontId="11" fillId="0" borderId="0" xfId="0" applyFont="1" applyAlignment="1">
      <alignment horizontal="right"/>
    </xf>
    <xf numFmtId="166" fontId="0" fillId="0" borderId="0" xfId="0" applyNumberFormat="1"/>
    <xf numFmtId="166" fontId="7" fillId="0" borderId="0" xfId="0" applyNumberFormat="1" applyFont="1"/>
    <xf numFmtId="165" fontId="7" fillId="0" borderId="0" xfId="0" applyNumberFormat="1" applyFont="1" applyFill="1" applyBorder="1"/>
    <xf numFmtId="0" fontId="0" fillId="0" borderId="0" xfId="0" applyAlignment="1">
      <alignment wrapText="1"/>
    </xf>
    <xf numFmtId="0" fontId="0" fillId="0" borderId="0" xfId="3" applyNumberFormat="1" applyFont="1"/>
    <xf numFmtId="0" fontId="0" fillId="9" borderId="0" xfId="0" applyFill="1"/>
    <xf numFmtId="0" fontId="7" fillId="0" borderId="0" xfId="0" applyFont="1" applyAlignment="1">
      <alignment vertical="top" wrapText="1"/>
    </xf>
    <xf numFmtId="0" fontId="0" fillId="0" borderId="0" xfId="0" applyAlignment="1">
      <alignment horizontal="center"/>
    </xf>
    <xf numFmtId="0" fontId="7" fillId="0" borderId="0" xfId="0" applyFont="1" applyAlignment="1">
      <alignment horizontal="center"/>
    </xf>
    <xf numFmtId="1" fontId="3" fillId="0" borderId="2" xfId="0" applyNumberFormat="1" applyFont="1" applyFill="1" applyBorder="1" applyAlignment="1">
      <alignment horizontal="center"/>
    </xf>
    <xf numFmtId="0" fontId="3" fillId="0" borderId="2" xfId="0" applyFont="1" applyFill="1" applyBorder="1" applyAlignment="1">
      <alignment horizontal="center"/>
    </xf>
    <xf numFmtId="1" fontId="3" fillId="0" borderId="2" xfId="0" applyNumberFormat="1" applyFont="1" applyBorder="1" applyAlignment="1">
      <alignment horizontal="center"/>
    </xf>
    <xf numFmtId="0" fontId="3" fillId="0" borderId="0" xfId="0" applyFont="1" applyAlignment="1">
      <alignment horizontal="center"/>
    </xf>
    <xf numFmtId="0" fontId="3" fillId="0" borderId="2" xfId="0" applyFont="1" applyBorder="1" applyAlignment="1">
      <alignment horizontal="center"/>
    </xf>
    <xf numFmtId="2" fontId="3" fillId="0" borderId="0" xfId="0" applyNumberFormat="1" applyFont="1" applyAlignment="1">
      <alignment horizontal="center"/>
    </xf>
    <xf numFmtId="1" fontId="7" fillId="0" borderId="1" xfId="0" applyNumberFormat="1" applyFont="1" applyBorder="1"/>
    <xf numFmtId="165" fontId="16" fillId="0" borderId="0" xfId="3" applyNumberFormat="1" applyFont="1"/>
    <xf numFmtId="164" fontId="0" fillId="0" borderId="0" xfId="0" applyNumberFormat="1"/>
    <xf numFmtId="0" fontId="17" fillId="0" borderId="0" xfId="0" applyFont="1" applyProtection="1">
      <protection locked="0"/>
    </xf>
    <xf numFmtId="0" fontId="7" fillId="0" borderId="0" xfId="0" applyFont="1" applyAlignment="1">
      <alignment vertical="center" wrapText="1"/>
    </xf>
    <xf numFmtId="0" fontId="7" fillId="0" borderId="3" xfId="0" applyFont="1" applyBorder="1"/>
    <xf numFmtId="0" fontId="18" fillId="5" borderId="4" xfId="2" applyFont="1" applyFill="1" applyBorder="1" applyAlignment="1" applyProtection="1">
      <alignment horizontal="center"/>
    </xf>
    <xf numFmtId="9" fontId="7" fillId="0" borderId="1" xfId="0" applyNumberFormat="1" applyFont="1" applyBorder="1" applyAlignment="1">
      <alignment horizontal="right"/>
    </xf>
    <xf numFmtId="0" fontId="7" fillId="0" borderId="0" xfId="0" applyFont="1" applyAlignment="1">
      <alignment horizontal="right"/>
    </xf>
    <xf numFmtId="164" fontId="7" fillId="0" borderId="1" xfId="0" applyNumberFormat="1" applyFont="1" applyBorder="1" applyAlignment="1">
      <alignment horizontal="right"/>
    </xf>
    <xf numFmtId="0" fontId="7" fillId="0" borderId="5" xfId="0" applyFont="1" applyBorder="1" applyAlignment="1">
      <alignment vertical="center" wrapText="1"/>
    </xf>
    <xf numFmtId="0" fontId="7" fillId="0" borderId="6" xfId="0" applyFont="1" applyBorder="1"/>
    <xf numFmtId="0" fontId="7" fillId="0" borderId="7" xfId="0" applyFont="1" applyBorder="1"/>
    <xf numFmtId="0" fontId="0" fillId="0" borderId="8" xfId="0" applyBorder="1"/>
    <xf numFmtId="0" fontId="19" fillId="2" borderId="0" xfId="2" applyFont="1" applyFill="1" applyAlignment="1" applyProtection="1">
      <alignment horizontal="center"/>
    </xf>
    <xf numFmtId="0" fontId="18" fillId="2" borderId="0" xfId="2" applyFont="1" applyFill="1" applyBorder="1" applyAlignment="1" applyProtection="1">
      <alignment horizontal="center"/>
    </xf>
    <xf numFmtId="1" fontId="3" fillId="0" borderId="0" xfId="0" applyNumberFormat="1" applyFont="1" applyBorder="1" applyAlignment="1">
      <alignment horizontal="center"/>
    </xf>
    <xf numFmtId="0" fontId="3" fillId="3" borderId="9" xfId="0" applyFont="1" applyFill="1" applyBorder="1"/>
    <xf numFmtId="0" fontId="7" fillId="3" borderId="10" xfId="0" applyFont="1" applyFill="1" applyBorder="1"/>
    <xf numFmtId="1" fontId="3" fillId="3" borderId="11" xfId="0" applyNumberFormat="1" applyFont="1" applyFill="1" applyBorder="1" applyAlignment="1">
      <alignment horizontal="center"/>
    </xf>
    <xf numFmtId="0" fontId="7" fillId="3" borderId="12" xfId="0" applyFont="1" applyFill="1" applyBorder="1"/>
    <xf numFmtId="0" fontId="7" fillId="3" borderId="0" xfId="0" applyFont="1" applyFill="1" applyBorder="1"/>
    <xf numFmtId="0" fontId="3" fillId="3" borderId="8" xfId="0" applyFont="1" applyFill="1" applyBorder="1" applyAlignment="1">
      <alignment horizontal="center"/>
    </xf>
    <xf numFmtId="0" fontId="7" fillId="3" borderId="3" xfId="0" applyFont="1" applyFill="1" applyBorder="1"/>
    <xf numFmtId="0" fontId="21" fillId="3" borderId="13" xfId="0" applyFont="1" applyFill="1" applyBorder="1"/>
    <xf numFmtId="2" fontId="3" fillId="3" borderId="2" xfId="0" applyNumberFormat="1" applyFont="1" applyFill="1" applyBorder="1" applyAlignment="1">
      <alignment horizontal="center"/>
    </xf>
    <xf numFmtId="0" fontId="3" fillId="3" borderId="10" xfId="0" applyFont="1" applyFill="1" applyBorder="1" applyAlignment="1">
      <alignment horizontal="right"/>
    </xf>
    <xf numFmtId="0" fontId="3" fillId="3" borderId="10" xfId="0" applyFont="1" applyFill="1" applyBorder="1" applyAlignment="1">
      <alignment horizontal="left"/>
    </xf>
    <xf numFmtId="0" fontId="3" fillId="3" borderId="11" xfId="0" applyNumberFormat="1" applyFont="1" applyFill="1" applyBorder="1" applyAlignment="1">
      <alignment horizontal="left"/>
    </xf>
    <xf numFmtId="0" fontId="7" fillId="0" borderId="0" xfId="0" applyFont="1" applyBorder="1" applyAlignment="1">
      <alignment wrapText="1"/>
    </xf>
    <xf numFmtId="0" fontId="7" fillId="0" borderId="3" xfId="0" applyFont="1" applyBorder="1" applyAlignment="1">
      <alignment wrapText="1"/>
    </xf>
    <xf numFmtId="0" fontId="24" fillId="2" borderId="0" xfId="2" applyFont="1" applyFill="1" applyAlignment="1" applyProtection="1">
      <alignment horizontal="center"/>
    </xf>
    <xf numFmtId="0" fontId="11" fillId="0" borderId="0" xfId="0" applyFont="1" applyBorder="1" applyAlignment="1">
      <alignment horizontal="left"/>
    </xf>
    <xf numFmtId="0" fontId="3" fillId="9" borderId="1" xfId="0" applyFont="1" applyFill="1" applyBorder="1" applyAlignment="1" applyProtection="1">
      <alignment horizontal="center"/>
    </xf>
    <xf numFmtId="0" fontId="11" fillId="0" borderId="14" xfId="0" applyFont="1" applyBorder="1" applyAlignment="1">
      <alignment horizontal="right"/>
    </xf>
    <xf numFmtId="0" fontId="13" fillId="8" borderId="15" xfId="0" applyFont="1" applyFill="1" applyBorder="1" applyAlignment="1" applyProtection="1">
      <alignment horizontal="center"/>
      <protection locked="0"/>
    </xf>
    <xf numFmtId="0" fontId="5" fillId="3" borderId="0" xfId="1" applyNumberFormat="1" applyFont="1" applyFill="1"/>
    <xf numFmtId="0" fontId="0" fillId="2" borderId="0" xfId="0" applyFill="1" applyAlignment="1">
      <alignment horizontal="right"/>
    </xf>
    <xf numFmtId="9" fontId="3" fillId="3" borderId="8" xfId="3" applyFont="1" applyFill="1" applyBorder="1" applyAlignment="1">
      <alignment horizontal="left"/>
    </xf>
    <xf numFmtId="0" fontId="2" fillId="0" borderId="0" xfId="2" applyAlignment="1" applyProtection="1"/>
    <xf numFmtId="0" fontId="0" fillId="0" borderId="12" xfId="0" applyBorder="1"/>
    <xf numFmtId="0" fontId="25" fillId="0" borderId="0" xfId="2" applyFont="1" applyAlignment="1" applyProtection="1">
      <alignment horizontal="right"/>
    </xf>
    <xf numFmtId="0" fontId="14" fillId="0" borderId="0" xfId="0" applyFont="1" applyBorder="1" applyAlignment="1">
      <alignment vertical="top" wrapText="1"/>
    </xf>
    <xf numFmtId="0" fontId="3" fillId="9" borderId="4" xfId="0" applyFont="1" applyFill="1" applyBorder="1" applyAlignment="1">
      <alignment horizontal="center"/>
    </xf>
    <xf numFmtId="0" fontId="16" fillId="0" borderId="0" xfId="0" applyFont="1" applyAlignment="1">
      <alignment horizontal="left"/>
    </xf>
    <xf numFmtId="0" fontId="7" fillId="0" borderId="0" xfId="0" applyFont="1" applyAlignment="1">
      <alignment horizontal="left"/>
    </xf>
    <xf numFmtId="17" fontId="0" fillId="0" borderId="0" xfId="0" applyNumberFormat="1"/>
    <xf numFmtId="2" fontId="0" fillId="0" borderId="0" xfId="0" applyNumberFormat="1"/>
    <xf numFmtId="166" fontId="0" fillId="2" borderId="0" xfId="0" applyNumberFormat="1" applyFill="1"/>
    <xf numFmtId="9" fontId="7" fillId="0" borderId="1" xfId="0" applyNumberFormat="1" applyFont="1" applyFill="1" applyBorder="1" applyAlignment="1">
      <alignment horizontal="right"/>
    </xf>
    <xf numFmtId="0" fontId="3" fillId="0" borderId="16" xfId="0" applyFont="1" applyBorder="1" applyAlignment="1">
      <alignment horizontal="left"/>
    </xf>
    <xf numFmtId="0" fontId="3" fillId="0" borderId="1" xfId="0" applyFont="1" applyBorder="1" applyAlignment="1">
      <alignment horizontal="left"/>
    </xf>
    <xf numFmtId="0" fontId="26" fillId="0" borderId="0" xfId="0" applyFont="1" applyFill="1" applyAlignment="1">
      <alignment horizontal="left" vertical="center" wrapText="1"/>
    </xf>
    <xf numFmtId="0" fontId="7" fillId="3" borderId="14" xfId="0" applyFont="1" applyFill="1" applyBorder="1" applyAlignment="1">
      <alignment horizontal="left"/>
    </xf>
    <xf numFmtId="0" fontId="7" fillId="3" borderId="3" xfId="0" applyFont="1" applyFill="1" applyBorder="1" applyAlignment="1">
      <alignment horizontal="left"/>
    </xf>
    <xf numFmtId="0" fontId="7" fillId="0" borderId="10" xfId="0" applyFont="1" applyBorder="1" applyAlignment="1">
      <alignment horizontal="left"/>
    </xf>
    <xf numFmtId="165" fontId="3" fillId="0" borderId="16" xfId="3" applyNumberFormat="1" applyFont="1" applyBorder="1" applyAlignment="1">
      <alignment horizontal="left"/>
    </xf>
    <xf numFmtId="165" fontId="3" fillId="0" borderId="1" xfId="3" applyNumberFormat="1" applyFont="1" applyBorder="1" applyAlignment="1">
      <alignment horizontal="left"/>
    </xf>
    <xf numFmtId="165" fontId="7" fillId="0" borderId="3" xfId="3" applyNumberFormat="1" applyFont="1" applyBorder="1" applyAlignment="1">
      <alignment horizontal="left"/>
    </xf>
    <xf numFmtId="0" fontId="7" fillId="0" borderId="1" xfId="0" applyFont="1" applyBorder="1" applyAlignment="1">
      <alignment horizontal="left"/>
    </xf>
    <xf numFmtId="0" fontId="13" fillId="0" borderId="0" xfId="0" applyFont="1" applyAlignment="1">
      <alignment horizont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16" fillId="0" borderId="3" xfId="0" applyFont="1" applyBorder="1" applyAlignment="1">
      <alignment horizontal="left"/>
    </xf>
    <xf numFmtId="0" fontId="3" fillId="3" borderId="16" xfId="0" applyFont="1" applyFill="1" applyBorder="1" applyAlignment="1">
      <alignment horizontal="left"/>
    </xf>
    <xf numFmtId="0" fontId="3" fillId="3" borderId="1" xfId="0" applyFont="1" applyFill="1" applyBorder="1" applyAlignment="1">
      <alignment horizontal="left"/>
    </xf>
    <xf numFmtId="0" fontId="3" fillId="3" borderId="3" xfId="0" applyFont="1" applyFill="1" applyBorder="1" applyAlignment="1">
      <alignment horizontal="left"/>
    </xf>
    <xf numFmtId="165" fontId="7" fillId="0" borderId="10" xfId="3" applyNumberFormat="1" applyFont="1" applyBorder="1" applyAlignment="1">
      <alignment horizontal="left"/>
    </xf>
    <xf numFmtId="0" fontId="10" fillId="9" borderId="16" xfId="0" applyFont="1" applyFill="1" applyBorder="1" applyAlignment="1">
      <alignment horizontal="center"/>
    </xf>
    <xf numFmtId="0" fontId="10" fillId="9" borderId="1" xfId="0" applyFont="1" applyFill="1" applyBorder="1" applyAlignment="1">
      <alignment horizontal="center"/>
    </xf>
    <xf numFmtId="0" fontId="10" fillId="9" borderId="2" xfId="0" applyFont="1" applyFill="1" applyBorder="1" applyAlignment="1">
      <alignment horizontal="center"/>
    </xf>
    <xf numFmtId="0" fontId="20" fillId="0" borderId="10" xfId="0" applyFont="1" applyBorder="1" applyAlignment="1">
      <alignment horizontal="center"/>
    </xf>
    <xf numFmtId="0" fontId="14" fillId="0" borderId="16" xfId="0" applyFont="1" applyBorder="1" applyAlignment="1">
      <alignment horizontal="center" vertical="top" wrapText="1"/>
    </xf>
    <xf numFmtId="0" fontId="14" fillId="0" borderId="1" xfId="0" applyFont="1" applyBorder="1" applyAlignment="1">
      <alignment horizontal="center" vertical="top" wrapText="1"/>
    </xf>
    <xf numFmtId="0" fontId="14" fillId="0" borderId="2" xfId="0" applyFont="1" applyBorder="1" applyAlignment="1">
      <alignment horizontal="center" vertical="top" wrapText="1"/>
    </xf>
    <xf numFmtId="0" fontId="15" fillId="0" borderId="3" xfId="0" applyFont="1" applyFill="1" applyBorder="1" applyAlignment="1">
      <alignment horizontal="right"/>
    </xf>
    <xf numFmtId="0" fontId="7" fillId="0" borderId="3" xfId="0" applyFont="1" applyBorder="1" applyAlignment="1">
      <alignment horizontal="left" wrapText="1"/>
    </xf>
    <xf numFmtId="0" fontId="7" fillId="3" borderId="1" xfId="0" applyFont="1" applyFill="1" applyBorder="1" applyAlignment="1">
      <alignment horizontal="right"/>
    </xf>
    <xf numFmtId="0" fontId="7" fillId="0" borderId="14" xfId="0" applyFont="1" applyBorder="1" applyAlignment="1">
      <alignment horizontal="left" vertical="center" wrapText="1"/>
    </xf>
    <xf numFmtId="0" fontId="7" fillId="0" borderId="3" xfId="0" applyFont="1" applyBorder="1" applyAlignment="1">
      <alignment horizontal="left" vertical="center" wrapText="1"/>
    </xf>
    <xf numFmtId="0" fontId="7" fillId="0" borderId="13" xfId="0" applyFont="1" applyBorder="1" applyAlignment="1">
      <alignment horizontal="left" vertical="center" wrapText="1"/>
    </xf>
    <xf numFmtId="0" fontId="7" fillId="0" borderId="0" xfId="0" applyFont="1" applyBorder="1" applyAlignment="1">
      <alignment horizontal="left" vertical="top" wrapText="1"/>
    </xf>
    <xf numFmtId="0" fontId="7" fillId="0" borderId="0" xfId="0" applyFont="1" applyBorder="1" applyAlignment="1">
      <alignment horizontal="left" vertical="center" wrapText="1"/>
    </xf>
    <xf numFmtId="0" fontId="3" fillId="0" borderId="0" xfId="0" applyFont="1" applyBorder="1" applyAlignment="1">
      <alignment horizontal="left" wrapText="1"/>
    </xf>
  </cellXfs>
  <cellStyles count="4">
    <cellStyle name="Comma" xfId="1" builtinId="3"/>
    <cellStyle name="Hyperlink" xfId="2" builtinId="8"/>
    <cellStyle name="Normal" xfId="0" builtinId="0"/>
    <cellStyle name="Percent" xfId="3" builtinId="5"/>
  </cellStyles>
  <dxfs count="5">
    <dxf>
      <fill>
        <patternFill>
          <bgColor indexed="34"/>
        </patternFill>
      </fill>
    </dxf>
    <dxf>
      <font>
        <b val="0"/>
        <i val="0"/>
        <condense val="0"/>
        <extend val="0"/>
      </font>
    </dxf>
    <dxf>
      <font>
        <b/>
        <i val="0"/>
        <condense val="0"/>
        <extend val="0"/>
        <color indexed="17"/>
      </font>
    </dxf>
    <dxf>
      <font>
        <b val="0"/>
        <i val="0"/>
        <condense val="0"/>
        <extend val="0"/>
        <color auto="1"/>
      </font>
      <fill>
        <patternFill>
          <bgColor indexed="34"/>
        </patternFill>
      </fill>
    </dxf>
    <dxf>
      <font>
        <b val="0"/>
        <i val="0"/>
        <condense val="0"/>
        <extend val="0"/>
        <color auto="1"/>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http://finance.yahoo.com/q?s="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342900</xdr:colOff>
      <xdr:row>9</xdr:row>
      <xdr:rowOff>19050</xdr:rowOff>
    </xdr:from>
    <xdr:to>
      <xdr:col>1</xdr:col>
      <xdr:colOff>3524250</xdr:colOff>
      <xdr:row>19</xdr:row>
      <xdr:rowOff>85725</xdr:rowOff>
    </xdr:to>
    <xdr:pic>
      <xdr:nvPicPr>
        <xdr:cNvPr id="2049" name="Picture 1"/>
        <xdr:cNvPicPr>
          <a:picLocks noChangeAspect="1" noChangeArrowheads="1"/>
        </xdr:cNvPicPr>
      </xdr:nvPicPr>
      <xdr:blipFill>
        <a:blip xmlns:r="http://schemas.openxmlformats.org/officeDocument/2006/relationships" r:embed="rId1"/>
        <a:srcRect/>
        <a:stretch>
          <a:fillRect/>
        </a:stretch>
      </xdr:blipFill>
      <xdr:spPr bwMode="auto">
        <a:xfrm>
          <a:off x="609600" y="4610100"/>
          <a:ext cx="3181350" cy="1762125"/>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52</xdr:row>
      <xdr:rowOff>0</xdr:rowOff>
    </xdr:from>
    <xdr:to>
      <xdr:col>18</xdr:col>
      <xdr:colOff>57150</xdr:colOff>
      <xdr:row>52</xdr:row>
      <xdr:rowOff>161925</xdr:rowOff>
    </xdr:to>
    <xdr:sp macro="" textlink="">
      <xdr:nvSpPr>
        <xdr:cNvPr id="1033" name="Text Box 1"/>
        <xdr:cNvSpPr txBox="1">
          <a:spLocks noChangeArrowheads="1"/>
        </xdr:cNvSpPr>
      </xdr:nvSpPr>
      <xdr:spPr bwMode="auto">
        <a:xfrm>
          <a:off x="8553450" y="11049000"/>
          <a:ext cx="57150" cy="161925"/>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57150</xdr:colOff>
      <xdr:row>51</xdr:row>
      <xdr:rowOff>161925</xdr:rowOff>
    </xdr:to>
    <xdr:sp macro="" textlink="">
      <xdr:nvSpPr>
        <xdr:cNvPr id="1034" name="Text Box 2"/>
        <xdr:cNvSpPr txBox="1">
          <a:spLocks noChangeArrowheads="1"/>
        </xdr:cNvSpPr>
      </xdr:nvSpPr>
      <xdr:spPr bwMode="auto">
        <a:xfrm>
          <a:off x="5505450" y="10848975"/>
          <a:ext cx="57150" cy="1619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57150</xdr:colOff>
      <xdr:row>51</xdr:row>
      <xdr:rowOff>161925</xdr:rowOff>
    </xdr:to>
    <xdr:sp macro="" textlink="">
      <xdr:nvSpPr>
        <xdr:cNvPr id="1035" name="Text Box 4"/>
        <xdr:cNvSpPr txBox="1">
          <a:spLocks noChangeArrowheads="1"/>
        </xdr:cNvSpPr>
      </xdr:nvSpPr>
      <xdr:spPr bwMode="auto">
        <a:xfrm>
          <a:off x="1562100" y="10848975"/>
          <a:ext cx="57150" cy="161925"/>
        </a:xfrm>
        <a:prstGeom prst="rect">
          <a:avLst/>
        </a:prstGeom>
        <a:noFill/>
        <a:ln w="9525">
          <a:noFill/>
          <a:miter lim="800000"/>
          <a:headEnd/>
          <a:tailEnd/>
        </a:ln>
      </xdr:spPr>
    </xdr:sp>
    <xdr:clientData/>
  </xdr:twoCellAnchor>
  <xdr:twoCellAnchor>
    <xdr:from>
      <xdr:col>5</xdr:col>
      <xdr:colOff>0</xdr:colOff>
      <xdr:row>3</xdr:row>
      <xdr:rowOff>0</xdr:rowOff>
    </xdr:from>
    <xdr:to>
      <xdr:col>6</xdr:col>
      <xdr:colOff>0</xdr:colOff>
      <xdr:row>4</xdr:row>
      <xdr:rowOff>0</xdr:rowOff>
    </xdr:to>
    <xdr:sp macro="" textlink="">
      <xdr:nvSpPr>
        <xdr:cNvPr id="1050" name="Rectangle 5">
          <a:hlinkClick xmlns:r="http://schemas.openxmlformats.org/officeDocument/2006/relationships" r:id="rId1"/>
        </xdr:cNvPr>
        <xdr:cNvSpPr>
          <a:spLocks noChangeArrowheads="1"/>
        </xdr:cNvSpPr>
      </xdr:nvSpPr>
      <xdr:spPr bwMode="auto">
        <a:xfrm>
          <a:off x="5505450" y="676275"/>
          <a:ext cx="1066800" cy="161925"/>
        </a:xfrm>
        <a:prstGeom prst="rect">
          <a:avLst/>
        </a:prstGeom>
        <a:noFill/>
        <a:ln w="9525">
          <a:solidFill>
            <a:srgbClr val="000000"/>
          </a:solidFill>
          <a:miter lim="800000"/>
          <a:headEnd/>
          <a:tailEnd/>
        </a:ln>
        <a:effectLst>
          <a:outerShdw dist="35921" dir="2700000" algn="ctr" rotWithShape="0">
            <a:srgbClr val="808080"/>
          </a:outerShdw>
        </a:effectLst>
      </xdr:spPr>
    </xdr:sp>
    <xdr:clientData/>
  </xdr:twoCellAnchor>
</xdr:wsDr>
</file>

<file path=xl/queryTables/queryTable1.xml><?xml version="1.0" encoding="utf-8"?>
<queryTable xmlns="http://schemas.openxmlformats.org/spreadsheetml/2006/main" name="yahoo competitors quick analysis" refreshOnLoad="1" connectionId="1"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Company description" connectionId="2"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5 year ace_2" refreshOnLoad="1" connectionId="3" autoFormatId="16" applyNumberFormats="0" applyBorderFormats="0" applyFontFormats="1" applyPatternFormats="1" applyAlignmentFormats="0" applyWidthHeightFormats="0"/>
</file>

<file path=xl/queryTables/queryTable4.xml><?xml version="1.0" encoding="utf-8"?>
<queryTable xmlns="http://schemas.openxmlformats.org/spreadsheetml/2006/main" name="10 year annual data_1" refreshOnLoad="1" connectionId="4" autoFormatId="16" applyNumberFormats="0" applyBorderFormats="0" applyFontFormats="1" applyPatternFormats="1" applyAlignmentFormats="0" applyWidthHeightFormats="0"/>
</file>

<file path=xl/queryTables/queryTable5.xml><?xml version="1.0" encoding="utf-8"?>
<queryTable xmlns="http://schemas.openxmlformats.org/spreadsheetml/2006/main" name="MSN Cashflow" refreshOnLoad="1" growShrinkType="overwriteClear" connectionId="5" autoFormatId="16" applyNumberFormats="0" applyBorderFormats="0" applyFontFormats="1" applyPatternFormats="1" applyAlignmentFormats="0" applyWidthHeightFormats="0"/>
</file>

<file path=xl/queryTables/queryTable6.xml><?xml version="1.0" encoding="utf-8"?>
<queryTable xmlns="http://schemas.openxmlformats.org/spreadsheetml/2006/main" name="Yahoo-price &amp; date_1" refreshOnLoad="1" connectionId="6" autoFormatId="16" applyNumberFormats="0" applyBorderFormats="0" applyFontFormats="1" applyPatternFormats="1" applyAlignmentFormats="0" applyWidthHeightFormats="0"/>
</file>

<file path=xl/queryTables/queryTable7.xml><?xml version="1.0" encoding="utf-8"?>
<queryTable xmlns="http://schemas.openxmlformats.org/spreadsheetml/2006/main" name="msn Price and Company name3-08" refreshOnLoad="1" connectionId="7" autoFormatId="16" applyNumberFormats="0" applyBorderFormats="0" applyFontFormats="1" applyPatternFormats="1" applyAlignmentFormats="0" applyWidthHeightFormats="0"/>
</file>

<file path=xl/queryTables/queryTable8.xml><?xml version="1.0" encoding="utf-8"?>
<queryTable xmlns="http://schemas.openxmlformats.org/spreadsheetml/2006/main" name="msn income statement" refreshOnLoad="1" connectionId="8" autoFormatId="16" applyNumberFormats="0" applyBorderFormats="0" applyFontFormats="1" applyPatternFormats="1" applyAlignmentFormats="0" applyWidthHeightFormats="0"/>
</file>

<file path=xl/queryTables/queryTable9.xml><?xml version="1.0" encoding="utf-8"?>
<queryTable xmlns="http://schemas.openxmlformats.org/spreadsheetml/2006/main" name="balance sheet" refreshOnLoad="1" connectionId="9"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inance.yahoo.com/" TargetMode="External"/><Relationship Id="rId1" Type="http://schemas.openxmlformats.org/officeDocument/2006/relationships/hyperlink" Target="http://www.investopedia.com/?viewed=1"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queryTable" Target="../queryTables/queryTable7.xml"/></Relationships>
</file>

<file path=xl/worksheets/_rels/sheet11.xml.rels><?xml version="1.0" encoding="UTF-8" standalone="yes"?>
<Relationships xmlns="http://schemas.openxmlformats.org/package/2006/relationships"><Relationship Id="rId1" Type="http://schemas.openxmlformats.org/officeDocument/2006/relationships/queryTable" Target="../queryTables/queryTable8.xml"/></Relationships>
</file>

<file path=xl/worksheets/_rels/sheet12.xml.rels><?xml version="1.0" encoding="UTF-8" standalone="yes"?>
<Relationships xmlns="http://schemas.openxmlformats.org/package/2006/relationships"><Relationship Id="rId2" Type="http://schemas.openxmlformats.org/officeDocument/2006/relationships/queryTable" Target="../queryTables/queryTable9.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finance.yahoo.com/q?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queryTable" Target="../queryTables/queryTable2.xml"/></Relationships>
</file>

<file path=xl/worksheets/_rels/sheet6.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queryTable" Target="../queryTables/queryTable6.xm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34"/>
  </sheetPr>
  <dimension ref="A2:C47"/>
  <sheetViews>
    <sheetView showGridLines="0" showRowColHeaders="0" workbookViewId="0">
      <selection activeCell="B1" sqref="B1"/>
    </sheetView>
  </sheetViews>
  <sheetFormatPr defaultRowHeight="12"/>
  <cols>
    <col min="1" max="1" width="3.5" customWidth="1"/>
    <col min="2" max="2" width="81.125" customWidth="1"/>
  </cols>
  <sheetData>
    <row r="2" spans="1:3" ht="12.75">
      <c r="B2" s="9" t="s">
        <v>0</v>
      </c>
    </row>
    <row r="3" spans="1:3" ht="16.5" customHeight="1">
      <c r="B3" s="9" t="s">
        <v>241</v>
      </c>
    </row>
    <row r="4" spans="1:3" ht="36" customHeight="1">
      <c r="B4" s="56" t="s">
        <v>246</v>
      </c>
    </row>
    <row r="5" spans="1:3" ht="15" customHeight="1">
      <c r="B5" s="57" t="s">
        <v>242</v>
      </c>
    </row>
    <row r="6" spans="1:3" ht="51" customHeight="1">
      <c r="B6" s="81" t="s">
        <v>250</v>
      </c>
    </row>
    <row r="7" spans="1:3" ht="88.5" customHeight="1">
      <c r="B7" s="82" t="s">
        <v>251</v>
      </c>
    </row>
    <row r="8" spans="1:3" ht="69.75" customHeight="1" thickBot="1">
      <c r="B8" s="56" t="s">
        <v>243</v>
      </c>
      <c r="C8" s="91"/>
    </row>
    <row r="9" spans="1:3" ht="60" customHeight="1">
      <c r="A9" s="65"/>
      <c r="B9" s="62" t="s">
        <v>313</v>
      </c>
    </row>
    <row r="10" spans="1:3" ht="12.75">
      <c r="A10" s="65"/>
      <c r="B10" s="63"/>
    </row>
    <row r="11" spans="1:3" ht="18.75">
      <c r="A11" s="65"/>
      <c r="B11" s="93" t="s">
        <v>314</v>
      </c>
      <c r="C11" s="92"/>
    </row>
    <row r="12" spans="1:3" ht="12.75">
      <c r="A12" s="65"/>
      <c r="B12" s="63"/>
    </row>
    <row r="13" spans="1:3" ht="12.75">
      <c r="A13" s="65"/>
      <c r="B13" s="63"/>
    </row>
    <row r="14" spans="1:3" ht="12.75">
      <c r="A14" s="65"/>
      <c r="B14" s="63"/>
    </row>
    <row r="15" spans="1:3" ht="12.75">
      <c r="A15" s="65"/>
      <c r="B15" s="63"/>
    </row>
    <row r="16" spans="1:3" ht="12.75">
      <c r="A16" s="65"/>
      <c r="B16" s="63"/>
    </row>
    <row r="17" spans="1:2" ht="12.75">
      <c r="A17" s="65"/>
      <c r="B17" s="63"/>
    </row>
    <row r="18" spans="1:2" ht="12.75">
      <c r="A18" s="65"/>
      <c r="B18" s="63"/>
    </row>
    <row r="19" spans="1:2" ht="12.75">
      <c r="A19" s="65"/>
      <c r="B19" s="63"/>
    </row>
    <row r="20" spans="1:2" ht="13.5" thickBot="1">
      <c r="A20" s="65"/>
      <c r="B20" s="64"/>
    </row>
    <row r="21" spans="1:2" ht="12.75">
      <c r="B21" s="9"/>
    </row>
    <row r="22" spans="1:2" ht="15">
      <c r="B22" s="66" t="s">
        <v>247</v>
      </c>
    </row>
    <row r="23" spans="1:2" ht="12.75">
      <c r="B23" s="9"/>
    </row>
    <row r="24" spans="1:2" ht="12.75">
      <c r="B24" s="83" t="s">
        <v>252</v>
      </c>
    </row>
    <row r="25" spans="1:2" ht="12.75">
      <c r="B25" s="9"/>
    </row>
    <row r="26" spans="1:2" ht="12.75">
      <c r="B26" s="9"/>
    </row>
    <row r="27" spans="1:2" ht="12.75">
      <c r="B27" s="9"/>
    </row>
    <row r="28" spans="1:2" ht="12.75">
      <c r="B28" s="9"/>
    </row>
    <row r="29" spans="1:2" ht="12.75">
      <c r="B29" s="9"/>
    </row>
    <row r="30" spans="1:2" ht="12.75">
      <c r="B30" s="9"/>
    </row>
    <row r="31" spans="1:2" ht="12.75">
      <c r="B31" s="9"/>
    </row>
    <row r="32" spans="1:2" ht="12.75">
      <c r="B32" s="9"/>
    </row>
    <row r="33" spans="2:2" ht="12.75">
      <c r="B33" s="9"/>
    </row>
    <row r="34" spans="2:2" ht="12.75">
      <c r="B34" s="9"/>
    </row>
    <row r="35" spans="2:2" ht="12.75">
      <c r="B35" s="9"/>
    </row>
    <row r="36" spans="2:2" ht="12.75">
      <c r="B36" s="9"/>
    </row>
    <row r="37" spans="2:2" ht="12.75">
      <c r="B37" s="9"/>
    </row>
    <row r="38" spans="2:2" ht="12.75">
      <c r="B38" s="9"/>
    </row>
    <row r="39" spans="2:2" ht="12.75">
      <c r="B39" s="9"/>
    </row>
    <row r="40" spans="2:2" ht="12.75">
      <c r="B40" s="9"/>
    </row>
    <row r="41" spans="2:2" ht="12.75">
      <c r="B41" s="9"/>
    </row>
    <row r="42" spans="2:2" ht="12.75">
      <c r="B42" s="9"/>
    </row>
    <row r="43" spans="2:2" ht="12.75">
      <c r="B43" s="9"/>
    </row>
    <row r="44" spans="2:2" ht="12.75">
      <c r="B44" s="9"/>
    </row>
    <row r="45" spans="2:2" ht="12.75">
      <c r="B45" s="9"/>
    </row>
    <row r="46" spans="2:2" ht="12.75">
      <c r="B46" s="9"/>
    </row>
    <row r="47" spans="2:2" ht="12.75">
      <c r="B47" s="9"/>
    </row>
  </sheetData>
  <phoneticPr fontId="4" type="noConversion"/>
  <hyperlinks>
    <hyperlink ref="B22" location="'Quick Analysis'!A1" display="Click here to return to the Analysis page"/>
    <hyperlink ref="B24" r:id="rId1" display="If you need help in understanding a investment word click here to be taken to Investopedia.com"/>
    <hyperlink ref="B11" r:id="rId2"/>
  </hyperlinks>
  <pageMargins left="0.75" right="0.75" top="1" bottom="1" header="0.5" footer="0.5"/>
  <pageSetup orientation="portrait" horizontalDpi="4294967293" verticalDpi="0" r:id="rId3"/>
  <headerFooter alignWithMargins="0"/>
  <drawing r:id="rId4"/>
</worksheet>
</file>

<file path=xl/worksheets/sheet10.xml><?xml version="1.0" encoding="utf-8"?>
<worksheet xmlns="http://schemas.openxmlformats.org/spreadsheetml/2006/main" xmlns:r="http://schemas.openxmlformats.org/officeDocument/2006/relationships">
  <sheetPr codeName="Sheet12"/>
  <dimension ref="A1:H41"/>
  <sheetViews>
    <sheetView workbookViewId="0">
      <selection activeCell="A2" sqref="A2"/>
    </sheetView>
  </sheetViews>
  <sheetFormatPr defaultRowHeight="12"/>
  <cols>
    <col min="1" max="1" width="81" customWidth="1"/>
    <col min="2" max="2" width="28.375" customWidth="1"/>
    <col min="3" max="3" width="9.875" customWidth="1"/>
    <col min="4" max="4" width="18.125" customWidth="1"/>
    <col min="5" max="5" width="34.625" customWidth="1"/>
    <col min="6" max="7" width="15" customWidth="1"/>
    <col min="8" max="8" width="14" customWidth="1"/>
    <col min="9" max="9" width="7.875" customWidth="1"/>
    <col min="10" max="10" width="18.125" customWidth="1"/>
    <col min="11" max="11" width="27.375" customWidth="1"/>
    <col min="12" max="13" width="15" customWidth="1"/>
    <col min="14" max="14" width="14" customWidth="1"/>
    <col min="15" max="15" width="18.125" customWidth="1"/>
    <col min="16" max="16" width="27.375" customWidth="1"/>
    <col min="17" max="17" width="25.375" customWidth="1"/>
    <col min="18" max="18" width="15" customWidth="1"/>
    <col min="19" max="19" width="14" customWidth="1"/>
    <col min="20" max="20" width="18.125" bestFit="1" customWidth="1"/>
    <col min="21" max="21" width="27.375" customWidth="1"/>
    <col min="22" max="22" width="15" customWidth="1"/>
    <col min="23" max="23" width="15" bestFit="1" customWidth="1"/>
    <col min="24" max="24" width="14" bestFit="1" customWidth="1"/>
  </cols>
  <sheetData>
    <row r="1" spans="1:8">
      <c r="A1" s="5" t="str">
        <f>'Quick Analysis'!F2</f>
        <v>CSCO</v>
      </c>
    </row>
    <row r="2" spans="1:8">
      <c r="A2" t="s">
        <v>359</v>
      </c>
      <c r="E2" t="s">
        <v>126</v>
      </c>
    </row>
    <row r="3" spans="1:8">
      <c r="E3" t="s">
        <v>127</v>
      </c>
    </row>
    <row r="4" spans="1:8">
      <c r="A4" t="s">
        <v>360</v>
      </c>
      <c r="G4" t="s">
        <v>128</v>
      </c>
      <c r="H4" t="s">
        <v>129</v>
      </c>
    </row>
    <row r="5" spans="1:8">
      <c r="A5" t="s">
        <v>361</v>
      </c>
      <c r="F5" t="s">
        <v>130</v>
      </c>
      <c r="G5" t="s">
        <v>370</v>
      </c>
      <c r="H5" s="2">
        <v>0.104</v>
      </c>
    </row>
    <row r="6" spans="1:8">
      <c r="A6" t="s">
        <v>362</v>
      </c>
      <c r="F6" t="s">
        <v>131</v>
      </c>
      <c r="G6" t="s">
        <v>371</v>
      </c>
      <c r="H6" s="2">
        <v>4.2999999999999997E-2</v>
      </c>
    </row>
    <row r="7" spans="1:8">
      <c r="F7" t="s">
        <v>132</v>
      </c>
      <c r="G7">
        <v>0</v>
      </c>
      <c r="H7" s="2" t="s">
        <v>311</v>
      </c>
    </row>
    <row r="8" spans="1:8">
      <c r="A8" t="s">
        <v>363</v>
      </c>
      <c r="F8" t="s">
        <v>133</v>
      </c>
      <c r="G8" s="2">
        <v>0</v>
      </c>
      <c r="H8" s="2">
        <v>0</v>
      </c>
    </row>
    <row r="9" spans="1:8">
      <c r="E9" t="s">
        <v>134</v>
      </c>
    </row>
    <row r="10" spans="1:8">
      <c r="E10" t="s">
        <v>135</v>
      </c>
    </row>
    <row r="11" spans="1:8">
      <c r="A11" t="s">
        <v>364</v>
      </c>
      <c r="E11" t="s">
        <v>136</v>
      </c>
      <c r="F11">
        <v>0.27</v>
      </c>
    </row>
    <row r="12" spans="1:8">
      <c r="A12" t="s">
        <v>365</v>
      </c>
      <c r="E12" t="s">
        <v>137</v>
      </c>
      <c r="F12" s="2">
        <v>0.63939999999999997</v>
      </c>
      <c r="G12" s="2"/>
    </row>
    <row r="13" spans="1:8">
      <c r="A13" t="s">
        <v>366</v>
      </c>
      <c r="E13" t="s">
        <v>138</v>
      </c>
      <c r="F13" s="2">
        <v>0.16980000000000001</v>
      </c>
      <c r="G13" s="2"/>
    </row>
    <row r="14" spans="1:8">
      <c r="E14" t="s">
        <v>139</v>
      </c>
      <c r="F14" t="s">
        <v>372</v>
      </c>
    </row>
    <row r="15" spans="1:8">
      <c r="A15" t="s">
        <v>367</v>
      </c>
      <c r="E15" t="s">
        <v>140</v>
      </c>
      <c r="F15" t="s">
        <v>373</v>
      </c>
    </row>
    <row r="16" spans="1:8">
      <c r="E16" t="s">
        <v>141</v>
      </c>
      <c r="F16">
        <v>1.04</v>
      </c>
    </row>
    <row r="17" spans="1:6">
      <c r="A17" t="s">
        <v>144</v>
      </c>
      <c r="E17" t="s">
        <v>142</v>
      </c>
      <c r="F17">
        <v>7</v>
      </c>
    </row>
    <row r="18" spans="1:6">
      <c r="B18" t="s">
        <v>145</v>
      </c>
      <c r="C18">
        <v>22.94</v>
      </c>
      <c r="E18" t="s">
        <v>143</v>
      </c>
    </row>
    <row r="19" spans="1:6">
      <c r="B19" t="s">
        <v>146</v>
      </c>
      <c r="C19">
        <v>23.87</v>
      </c>
      <c r="E19" t="s">
        <v>324</v>
      </c>
    </row>
    <row r="20" spans="1:6">
      <c r="B20" t="s">
        <v>147</v>
      </c>
      <c r="C20">
        <v>13.61</v>
      </c>
      <c r="E20" t="s">
        <v>374</v>
      </c>
      <c r="F20">
        <v>0.26</v>
      </c>
    </row>
    <row r="21" spans="1:6">
      <c r="B21" t="s">
        <v>149</v>
      </c>
      <c r="C21" s="1" t="s">
        <v>368</v>
      </c>
      <c r="E21" t="s">
        <v>375</v>
      </c>
      <c r="F21">
        <v>1.1499999999999999</v>
      </c>
    </row>
    <row r="22" spans="1:6">
      <c r="B22" t="s">
        <v>150</v>
      </c>
      <c r="C22" s="1" t="s">
        <v>369</v>
      </c>
      <c r="E22" t="s">
        <v>148</v>
      </c>
      <c r="F22">
        <v>21.7</v>
      </c>
    </row>
    <row r="23" spans="1:6">
      <c r="B23" t="s">
        <v>152</v>
      </c>
      <c r="C23" s="1">
        <v>22.24</v>
      </c>
      <c r="E23" t="s">
        <v>376</v>
      </c>
      <c r="F23">
        <v>1.39</v>
      </c>
    </row>
    <row r="24" spans="1:6">
      <c r="B24" t="s">
        <v>153</v>
      </c>
      <c r="C24" s="1">
        <v>18.649999999999999</v>
      </c>
      <c r="E24" t="s">
        <v>151</v>
      </c>
      <c r="F24">
        <v>16.5</v>
      </c>
    </row>
    <row r="25" spans="1:6">
      <c r="B25" t="s">
        <v>155</v>
      </c>
      <c r="C25">
        <v>1.2</v>
      </c>
      <c r="E25" t="s">
        <v>377</v>
      </c>
    </row>
    <row r="26" spans="1:6">
      <c r="A26" t="s">
        <v>156</v>
      </c>
      <c r="E26" t="s">
        <v>154</v>
      </c>
    </row>
    <row r="28" spans="1:6">
      <c r="A28" t="s">
        <v>157</v>
      </c>
    </row>
    <row r="30" spans="1:6">
      <c r="A30" t="s">
        <v>158</v>
      </c>
    </row>
    <row r="31" spans="1:6">
      <c r="C31" t="s">
        <v>124</v>
      </c>
      <c r="D31" t="s">
        <v>159</v>
      </c>
    </row>
    <row r="32" spans="1:6">
      <c r="B32" t="s">
        <v>160</v>
      </c>
      <c r="C32" s="2">
        <v>0.22500000000000001</v>
      </c>
      <c r="D32">
        <v>67</v>
      </c>
    </row>
    <row r="33" spans="1:4">
      <c r="B33" t="s">
        <v>161</v>
      </c>
      <c r="C33" s="2">
        <v>0.248</v>
      </c>
      <c r="D33">
        <v>49</v>
      </c>
    </row>
    <row r="34" spans="1:4">
      <c r="B34" t="s">
        <v>128</v>
      </c>
      <c r="C34" s="2">
        <v>6.9000000000000006E-2</v>
      </c>
      <c r="D34">
        <v>68</v>
      </c>
    </row>
    <row r="35" spans="1:4">
      <c r="A35" t="s">
        <v>162</v>
      </c>
      <c r="C35" s="2"/>
    </row>
    <row r="36" spans="1:4">
      <c r="A36" t="s">
        <v>163</v>
      </c>
      <c r="C36" s="2"/>
    </row>
    <row r="37" spans="1:4">
      <c r="A37" t="s">
        <v>164</v>
      </c>
      <c r="B37" t="s">
        <v>327</v>
      </c>
    </row>
    <row r="38" spans="1:4">
      <c r="A38" t="s">
        <v>165</v>
      </c>
      <c r="B38" s="2">
        <v>0.72</v>
      </c>
    </row>
    <row r="39" spans="1:4">
      <c r="A39" t="s">
        <v>166</v>
      </c>
      <c r="B39" s="2"/>
    </row>
    <row r="40" spans="1:4">
      <c r="B40" s="2"/>
    </row>
    <row r="41" spans="1:4">
      <c r="A41" t="s">
        <v>167</v>
      </c>
    </row>
  </sheetData>
  <phoneticPr fontId="4"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sheetPr codeName="Sheet4"/>
  <dimension ref="A1:F75"/>
  <sheetViews>
    <sheetView topLeftCell="A23" workbookViewId="0">
      <selection activeCell="A2" sqref="A2"/>
    </sheetView>
  </sheetViews>
  <sheetFormatPr defaultRowHeight="12"/>
  <cols>
    <col min="1" max="1" width="81" customWidth="1"/>
    <col min="2" max="2" width="9.875" customWidth="1"/>
    <col min="3" max="4" width="13" customWidth="1"/>
    <col min="5" max="5" width="9.875" customWidth="1"/>
    <col min="6" max="6" width="13" customWidth="1"/>
    <col min="7" max="11" width="10.875" customWidth="1"/>
  </cols>
  <sheetData>
    <row r="1" spans="1:6">
      <c r="A1" s="5" t="str">
        <f>'Quick Analysis'!F2</f>
        <v>CSCO</v>
      </c>
    </row>
    <row r="2" spans="1:6">
      <c r="A2" t="s">
        <v>354</v>
      </c>
    </row>
    <row r="4" spans="1:6">
      <c r="A4" t="s">
        <v>15</v>
      </c>
    </row>
    <row r="5" spans="1:6">
      <c r="A5" t="s">
        <v>16</v>
      </c>
    </row>
    <row r="8" spans="1:6">
      <c r="A8" t="s">
        <v>17</v>
      </c>
    </row>
    <row r="12" spans="1:6">
      <c r="B12">
        <v>2009</v>
      </c>
      <c r="C12">
        <v>2008</v>
      </c>
      <c r="D12">
        <v>2007</v>
      </c>
      <c r="E12">
        <v>2006</v>
      </c>
      <c r="F12">
        <v>2005</v>
      </c>
    </row>
    <row r="13" spans="1:6">
      <c r="A13" t="s">
        <v>18</v>
      </c>
      <c r="B13" s="3">
        <v>40019</v>
      </c>
      <c r="C13" s="3">
        <v>39655</v>
      </c>
      <c r="D13" s="3">
        <v>39291</v>
      </c>
      <c r="E13" s="3">
        <v>38927</v>
      </c>
      <c r="F13" s="3">
        <v>38563</v>
      </c>
    </row>
    <row r="14" spans="1:6">
      <c r="A14" t="s">
        <v>19</v>
      </c>
      <c r="B14" t="s">
        <v>20</v>
      </c>
      <c r="C14" t="s">
        <v>20</v>
      </c>
      <c r="D14" t="s">
        <v>20</v>
      </c>
      <c r="E14" t="s">
        <v>20</v>
      </c>
      <c r="F14" t="s">
        <v>20</v>
      </c>
    </row>
    <row r="15" spans="1:6">
      <c r="A15" t="s">
        <v>22</v>
      </c>
      <c r="B15" t="s">
        <v>23</v>
      </c>
      <c r="C15" t="s">
        <v>23</v>
      </c>
      <c r="D15" t="s">
        <v>23</v>
      </c>
      <c r="E15" t="s">
        <v>23</v>
      </c>
      <c r="F15" t="s">
        <v>23</v>
      </c>
    </row>
    <row r="16" spans="1:6">
      <c r="A16" t="s">
        <v>24</v>
      </c>
      <c r="B16" s="3">
        <v>40067</v>
      </c>
      <c r="C16" s="3">
        <v>40067</v>
      </c>
      <c r="D16" s="3">
        <v>40067</v>
      </c>
      <c r="E16" s="3">
        <v>38978</v>
      </c>
      <c r="F16" s="3">
        <v>38978</v>
      </c>
    </row>
    <row r="17" spans="1:6">
      <c r="A17" t="s">
        <v>25</v>
      </c>
      <c r="B17" t="s">
        <v>26</v>
      </c>
      <c r="C17" t="s">
        <v>125</v>
      </c>
      <c r="D17" t="s">
        <v>125</v>
      </c>
      <c r="E17" t="s">
        <v>26</v>
      </c>
      <c r="F17" t="s">
        <v>125</v>
      </c>
    </row>
    <row r="19" spans="1:6">
      <c r="A19" t="s">
        <v>290</v>
      </c>
      <c r="B19" s="4">
        <v>36117</v>
      </c>
      <c r="C19" s="4">
        <v>39540</v>
      </c>
      <c r="D19" s="4">
        <v>34922</v>
      </c>
      <c r="E19" s="4">
        <v>28484</v>
      </c>
      <c r="F19" s="4">
        <v>24801</v>
      </c>
    </row>
    <row r="20" spans="1:6">
      <c r="A20" t="s">
        <v>289</v>
      </c>
      <c r="B20" s="4">
        <v>36117</v>
      </c>
      <c r="C20" s="4">
        <v>39540</v>
      </c>
      <c r="D20" s="4">
        <v>34922</v>
      </c>
      <c r="E20" s="4">
        <v>28484</v>
      </c>
      <c r="F20" s="4">
        <v>24801</v>
      </c>
    </row>
    <row r="21" spans="1:6">
      <c r="B21" s="4"/>
      <c r="C21" s="4"/>
      <c r="D21" s="4"/>
      <c r="E21" s="4"/>
      <c r="F21" s="4"/>
    </row>
    <row r="22" spans="1:6">
      <c r="A22" t="s">
        <v>291</v>
      </c>
      <c r="B22" s="4">
        <v>13023</v>
      </c>
      <c r="C22" s="4">
        <v>14194</v>
      </c>
      <c r="D22" s="4">
        <v>12663</v>
      </c>
      <c r="E22" s="4">
        <v>9737</v>
      </c>
      <c r="F22" s="4">
        <v>8130</v>
      </c>
    </row>
    <row r="23" spans="1:6">
      <c r="A23" t="s">
        <v>292</v>
      </c>
      <c r="B23" s="4">
        <v>23094</v>
      </c>
      <c r="C23" s="4">
        <v>25346</v>
      </c>
      <c r="D23" s="4">
        <v>22259</v>
      </c>
      <c r="E23" s="4">
        <v>18747</v>
      </c>
      <c r="F23" s="4">
        <v>16671</v>
      </c>
    </row>
    <row r="24" spans="1:6">
      <c r="B24" s="4"/>
      <c r="C24" s="4"/>
      <c r="D24" s="4"/>
      <c r="E24" s="4"/>
      <c r="F24" s="4"/>
    </row>
    <row r="25" spans="1:6">
      <c r="A25" t="s">
        <v>293</v>
      </c>
      <c r="B25" s="4">
        <v>9968</v>
      </c>
      <c r="C25" s="4">
        <v>10077</v>
      </c>
      <c r="D25" s="4">
        <v>8552</v>
      </c>
      <c r="E25" s="4">
        <v>7200</v>
      </c>
      <c r="F25" s="4">
        <v>5680</v>
      </c>
    </row>
    <row r="26" spans="1:6">
      <c r="A26" t="s">
        <v>294</v>
      </c>
      <c r="B26" s="4">
        <v>5208</v>
      </c>
      <c r="C26" s="4">
        <v>5325</v>
      </c>
      <c r="D26" s="4">
        <v>4598</v>
      </c>
      <c r="E26" s="4">
        <v>4067</v>
      </c>
      <c r="F26" s="4">
        <v>3322</v>
      </c>
    </row>
    <row r="27" spans="1:6">
      <c r="A27" t="s">
        <v>295</v>
      </c>
      <c r="B27" s="4">
        <v>533</v>
      </c>
      <c r="C27" s="4">
        <v>499</v>
      </c>
      <c r="D27" s="4">
        <v>407</v>
      </c>
      <c r="E27" s="4">
        <v>393</v>
      </c>
      <c r="F27" s="4">
        <v>227</v>
      </c>
    </row>
    <row r="28" spans="1:6">
      <c r="A28" t="s">
        <v>296</v>
      </c>
      <c r="B28" s="4">
        <v>0</v>
      </c>
      <c r="C28" s="4">
        <v>0</v>
      </c>
      <c r="D28" s="4">
        <v>0</v>
      </c>
      <c r="E28" s="4">
        <v>0</v>
      </c>
      <c r="F28" s="4">
        <v>0</v>
      </c>
    </row>
    <row r="29" spans="1:6">
      <c r="A29" t="s">
        <v>297</v>
      </c>
      <c r="B29" s="4">
        <v>63</v>
      </c>
      <c r="C29" s="4">
        <v>3</v>
      </c>
      <c r="D29" s="4">
        <v>81</v>
      </c>
      <c r="E29" s="4">
        <v>91</v>
      </c>
      <c r="F29" s="4">
        <v>26</v>
      </c>
    </row>
    <row r="30" spans="1:6">
      <c r="A30" t="s">
        <v>298</v>
      </c>
      <c r="B30" s="4">
        <v>0</v>
      </c>
      <c r="C30" s="4">
        <v>0</v>
      </c>
      <c r="D30" s="4">
        <v>0</v>
      </c>
      <c r="E30" s="4">
        <v>0</v>
      </c>
      <c r="F30" s="4">
        <v>0</v>
      </c>
    </row>
    <row r="31" spans="1:6">
      <c r="A31" t="s">
        <v>299</v>
      </c>
      <c r="B31" s="4">
        <v>7322</v>
      </c>
      <c r="C31" s="4">
        <v>9442</v>
      </c>
      <c r="D31" s="4">
        <v>8621</v>
      </c>
      <c r="E31" s="4">
        <v>6996</v>
      </c>
      <c r="F31" s="4">
        <v>7416</v>
      </c>
    </row>
    <row r="32" spans="1:6">
      <c r="B32" s="4"/>
      <c r="C32" s="4"/>
      <c r="D32" s="4"/>
      <c r="E32" s="4"/>
      <c r="F32" s="4"/>
    </row>
    <row r="33" spans="1:6">
      <c r="A33" t="s">
        <v>300</v>
      </c>
      <c r="B33" s="4">
        <v>0</v>
      </c>
      <c r="C33" s="4">
        <v>0</v>
      </c>
      <c r="D33" s="4">
        <v>0</v>
      </c>
      <c r="E33" s="4">
        <v>0</v>
      </c>
      <c r="F33" s="4">
        <v>0</v>
      </c>
    </row>
    <row r="34" spans="1:6">
      <c r="A34" t="s">
        <v>301</v>
      </c>
      <c r="B34" s="4">
        <v>0</v>
      </c>
      <c r="C34" s="4">
        <v>0</v>
      </c>
      <c r="D34" s="4">
        <v>0</v>
      </c>
      <c r="E34" s="4">
        <v>0</v>
      </c>
      <c r="F34" s="4">
        <v>0</v>
      </c>
    </row>
    <row r="35" spans="1:6">
      <c r="A35" t="s">
        <v>302</v>
      </c>
      <c r="B35" s="4">
        <v>-48</v>
      </c>
      <c r="C35" s="4">
        <v>-114</v>
      </c>
      <c r="D35" s="4">
        <v>-85</v>
      </c>
      <c r="E35" s="4">
        <v>-94</v>
      </c>
      <c r="F35" s="4">
        <v>68</v>
      </c>
    </row>
    <row r="36" spans="1:6">
      <c r="A36" t="s">
        <v>288</v>
      </c>
      <c r="B36" s="4">
        <v>7693</v>
      </c>
      <c r="C36" s="4">
        <v>10255</v>
      </c>
      <c r="D36" s="4">
        <v>9461</v>
      </c>
      <c r="E36" s="4">
        <v>7633</v>
      </c>
      <c r="F36" s="4">
        <v>8036</v>
      </c>
    </row>
    <row r="37" spans="1:6">
      <c r="B37" s="4"/>
      <c r="C37" s="4"/>
      <c r="D37" s="4"/>
      <c r="E37" s="4"/>
      <c r="F37" s="4"/>
    </row>
    <row r="38" spans="1:6">
      <c r="A38" t="s">
        <v>287</v>
      </c>
      <c r="B38" s="4">
        <v>1559</v>
      </c>
      <c r="C38" s="4">
        <v>2203</v>
      </c>
      <c r="D38" s="4">
        <v>2128</v>
      </c>
      <c r="E38" s="4">
        <v>2053</v>
      </c>
      <c r="F38" s="4">
        <v>2295</v>
      </c>
    </row>
    <row r="39" spans="1:6">
      <c r="A39" t="s">
        <v>286</v>
      </c>
      <c r="B39" s="4">
        <v>6134</v>
      </c>
      <c r="C39" s="4">
        <v>8052</v>
      </c>
      <c r="D39" s="4">
        <v>7333</v>
      </c>
      <c r="E39" s="4">
        <v>5580</v>
      </c>
      <c r="F39" s="4">
        <v>5741</v>
      </c>
    </row>
    <row r="40" spans="1:6">
      <c r="B40" s="4"/>
      <c r="C40" s="4"/>
      <c r="D40" s="4"/>
      <c r="E40" s="4"/>
      <c r="F40" s="4"/>
    </row>
    <row r="41" spans="1:6">
      <c r="A41" t="s">
        <v>83</v>
      </c>
      <c r="B41" s="4">
        <v>0</v>
      </c>
      <c r="C41" s="4">
        <v>0</v>
      </c>
      <c r="D41" s="4">
        <v>0</v>
      </c>
      <c r="E41" s="4">
        <v>0</v>
      </c>
      <c r="F41" s="4">
        <v>0</v>
      </c>
    </row>
    <row r="42" spans="1:6">
      <c r="A42" t="s">
        <v>285</v>
      </c>
      <c r="B42" s="4">
        <v>0</v>
      </c>
      <c r="C42" s="4">
        <v>0</v>
      </c>
      <c r="D42" s="4">
        <v>0</v>
      </c>
      <c r="E42" s="4">
        <v>0</v>
      </c>
      <c r="F42" s="4">
        <v>0</v>
      </c>
    </row>
    <row r="43" spans="1:6">
      <c r="A43" t="s">
        <v>284</v>
      </c>
      <c r="B43" s="4">
        <v>0</v>
      </c>
      <c r="C43" s="4">
        <v>0</v>
      </c>
      <c r="D43">
        <v>0</v>
      </c>
      <c r="E43">
        <v>0</v>
      </c>
      <c r="F43">
        <v>0</v>
      </c>
    </row>
    <row r="44" spans="1:6">
      <c r="A44" t="s">
        <v>283</v>
      </c>
      <c r="B44" s="4">
        <v>6134</v>
      </c>
      <c r="C44" s="4">
        <v>8052</v>
      </c>
      <c r="D44" s="4">
        <v>7333</v>
      </c>
      <c r="E44" s="4">
        <v>5580</v>
      </c>
      <c r="F44" s="4">
        <v>5741</v>
      </c>
    </row>
    <row r="45" spans="1:6">
      <c r="B45" s="4"/>
      <c r="C45" s="4"/>
      <c r="D45" s="4"/>
      <c r="E45" s="4"/>
      <c r="F45" s="4"/>
    </row>
    <row r="46" spans="1:6">
      <c r="A46" t="s">
        <v>282</v>
      </c>
      <c r="B46">
        <v>0</v>
      </c>
      <c r="C46">
        <v>0</v>
      </c>
      <c r="D46">
        <v>0</v>
      </c>
      <c r="E46">
        <v>0</v>
      </c>
      <c r="F46">
        <v>0</v>
      </c>
    </row>
    <row r="47" spans="1:6">
      <c r="A47" t="s">
        <v>281</v>
      </c>
      <c r="B47" s="4">
        <v>6134</v>
      </c>
      <c r="C47" s="4">
        <v>8052</v>
      </c>
      <c r="D47" s="4">
        <v>7333</v>
      </c>
      <c r="E47" s="4">
        <v>5580</v>
      </c>
      <c r="F47" s="4">
        <v>5741</v>
      </c>
    </row>
    <row r="48" spans="1:6">
      <c r="B48" s="4"/>
      <c r="C48" s="4"/>
      <c r="D48" s="4"/>
      <c r="E48" s="4"/>
      <c r="F48" s="4"/>
    </row>
    <row r="49" spans="1:6">
      <c r="B49" s="4"/>
      <c r="C49" s="4"/>
      <c r="D49" s="4"/>
      <c r="E49" s="4"/>
      <c r="F49" s="4"/>
    </row>
    <row r="50" spans="1:6">
      <c r="A50" t="s">
        <v>280</v>
      </c>
      <c r="B50" s="4">
        <v>0</v>
      </c>
      <c r="C50" s="4">
        <v>0</v>
      </c>
      <c r="D50" s="4">
        <v>0</v>
      </c>
      <c r="E50" s="4">
        <v>0</v>
      </c>
      <c r="F50" s="4">
        <v>0</v>
      </c>
    </row>
    <row r="51" spans="1:6">
      <c r="A51" t="s">
        <v>279</v>
      </c>
      <c r="B51">
        <v>0</v>
      </c>
      <c r="C51">
        <v>0</v>
      </c>
      <c r="D51">
        <v>0</v>
      </c>
      <c r="E51">
        <v>0</v>
      </c>
      <c r="F51">
        <v>0</v>
      </c>
    </row>
    <row r="52" spans="1:6">
      <c r="A52" t="s">
        <v>278</v>
      </c>
      <c r="B52" s="4">
        <v>0</v>
      </c>
      <c r="C52">
        <v>0</v>
      </c>
      <c r="D52">
        <v>0</v>
      </c>
      <c r="E52" s="4">
        <v>0</v>
      </c>
      <c r="F52">
        <v>0</v>
      </c>
    </row>
    <row r="54" spans="1:6">
      <c r="A54" t="s">
        <v>277</v>
      </c>
      <c r="B54" s="4">
        <v>5828</v>
      </c>
      <c r="C54" s="4">
        <v>5986</v>
      </c>
      <c r="D54" s="4">
        <v>6055</v>
      </c>
      <c r="E54" s="4">
        <v>6158</v>
      </c>
      <c r="F54" s="4">
        <v>6487</v>
      </c>
    </row>
    <row r="55" spans="1:6">
      <c r="A55" t="s">
        <v>276</v>
      </c>
      <c r="B55" s="4">
        <v>1.05</v>
      </c>
      <c r="C55" s="4">
        <v>1.35</v>
      </c>
      <c r="D55" s="4">
        <v>1.21</v>
      </c>
      <c r="E55" s="4">
        <v>0.91</v>
      </c>
      <c r="F55" s="4">
        <v>0.89</v>
      </c>
    </row>
    <row r="56" spans="1:6">
      <c r="A56" t="s">
        <v>275</v>
      </c>
      <c r="B56" s="4">
        <v>1.05</v>
      </c>
      <c r="C56" s="4">
        <v>1.35</v>
      </c>
      <c r="D56" s="4">
        <v>1.21</v>
      </c>
      <c r="E56" s="4">
        <v>0.91</v>
      </c>
      <c r="F56" s="4">
        <v>0.89</v>
      </c>
    </row>
    <row r="58" spans="1:6">
      <c r="A58" t="s">
        <v>274</v>
      </c>
      <c r="B58" s="4">
        <v>5857</v>
      </c>
      <c r="C58" s="4">
        <v>6163</v>
      </c>
      <c r="D58" s="4">
        <v>6265</v>
      </c>
      <c r="E58" s="4">
        <v>6272</v>
      </c>
      <c r="F58" s="4">
        <v>6612</v>
      </c>
    </row>
    <row r="59" spans="1:6">
      <c r="A59" t="s">
        <v>273</v>
      </c>
      <c r="B59" s="4">
        <v>1.05</v>
      </c>
      <c r="C59" s="4">
        <v>1.31</v>
      </c>
      <c r="D59" s="4">
        <v>1.17</v>
      </c>
      <c r="E59" s="4">
        <v>0.89</v>
      </c>
      <c r="F59" s="4">
        <v>0.87</v>
      </c>
    </row>
    <row r="60" spans="1:6">
      <c r="A60" t="s">
        <v>272</v>
      </c>
      <c r="B60" s="4">
        <v>1.05</v>
      </c>
      <c r="C60" s="4">
        <v>1.31</v>
      </c>
      <c r="D60" s="4">
        <v>1.17</v>
      </c>
      <c r="E60" s="4">
        <v>0.89</v>
      </c>
      <c r="F60" s="4">
        <v>0.87</v>
      </c>
    </row>
    <row r="62" spans="1:6">
      <c r="A62" t="s">
        <v>271</v>
      </c>
      <c r="B62" s="4">
        <v>0</v>
      </c>
      <c r="C62" s="4">
        <v>0</v>
      </c>
      <c r="D62" s="4">
        <v>0</v>
      </c>
      <c r="E62" s="4">
        <v>0</v>
      </c>
      <c r="F62" s="4">
        <v>0</v>
      </c>
    </row>
    <row r="63" spans="1:6">
      <c r="A63" t="s">
        <v>270</v>
      </c>
      <c r="B63" s="4">
        <v>0</v>
      </c>
      <c r="C63" s="4">
        <v>0</v>
      </c>
      <c r="D63" s="4">
        <v>0</v>
      </c>
      <c r="E63" s="4">
        <v>0</v>
      </c>
      <c r="F63" s="4">
        <v>0</v>
      </c>
    </row>
    <row r="64" spans="1:6">
      <c r="A64" t="s">
        <v>378</v>
      </c>
      <c r="B64" s="4">
        <v>346</v>
      </c>
      <c r="C64" s="4">
        <v>319</v>
      </c>
      <c r="D64" s="4">
        <v>377</v>
      </c>
      <c r="E64" s="4">
        <v>148</v>
      </c>
      <c r="F64">
        <v>0</v>
      </c>
    </row>
    <row r="65" spans="1:6">
      <c r="A65" t="s">
        <v>269</v>
      </c>
      <c r="B65" s="4">
        <v>1024</v>
      </c>
      <c r="C65" s="4">
        <v>1012</v>
      </c>
      <c r="D65" s="4">
        <v>850</v>
      </c>
      <c r="E65" s="4">
        <v>900</v>
      </c>
      <c r="F65" s="4">
        <v>793</v>
      </c>
    </row>
    <row r="66" spans="1:6">
      <c r="B66" s="4"/>
      <c r="C66" s="4"/>
      <c r="D66" s="4"/>
      <c r="E66" s="4"/>
      <c r="F66" s="4"/>
    </row>
    <row r="67" spans="1:6">
      <c r="A67" t="s">
        <v>303</v>
      </c>
      <c r="B67" s="4">
        <v>9153</v>
      </c>
      <c r="C67" s="4">
        <v>11189</v>
      </c>
      <c r="D67" s="4">
        <v>10115</v>
      </c>
      <c r="E67" s="4">
        <v>8440</v>
      </c>
      <c r="F67" s="4">
        <v>8462</v>
      </c>
    </row>
    <row r="68" spans="1:6">
      <c r="A68" t="s">
        <v>304</v>
      </c>
      <c r="B68" s="4">
        <v>7385</v>
      </c>
      <c r="C68" s="4">
        <v>9445</v>
      </c>
      <c r="D68" s="4">
        <v>8702</v>
      </c>
      <c r="E68" s="4">
        <v>7087</v>
      </c>
      <c r="F68" s="4">
        <v>7442</v>
      </c>
    </row>
    <row r="69" spans="1:6">
      <c r="A69" t="s">
        <v>268</v>
      </c>
      <c r="B69" s="4">
        <v>7756</v>
      </c>
      <c r="C69" s="4">
        <v>10258</v>
      </c>
      <c r="D69" s="4">
        <v>9542</v>
      </c>
      <c r="E69" s="4">
        <v>7724</v>
      </c>
      <c r="F69" s="4">
        <v>8062</v>
      </c>
    </row>
    <row r="70" spans="1:6">
      <c r="A70" t="s">
        <v>267</v>
      </c>
      <c r="B70" s="4">
        <v>6197</v>
      </c>
      <c r="C70" s="4">
        <v>8055</v>
      </c>
      <c r="D70" s="4">
        <v>7414</v>
      </c>
      <c r="E70" s="4">
        <v>5671</v>
      </c>
      <c r="F70" s="4">
        <v>5767</v>
      </c>
    </row>
    <row r="71" spans="1:6">
      <c r="A71" t="s">
        <v>266</v>
      </c>
      <c r="B71" s="4">
        <v>6197</v>
      </c>
      <c r="C71" s="4">
        <v>8055</v>
      </c>
      <c r="D71" s="4">
        <v>7414</v>
      </c>
      <c r="E71" s="4">
        <v>5671</v>
      </c>
      <c r="F71" s="4">
        <v>5767</v>
      </c>
    </row>
    <row r="72" spans="1:6">
      <c r="B72" s="4"/>
      <c r="C72" s="4"/>
      <c r="D72" s="4"/>
      <c r="E72" s="4"/>
      <c r="F72" s="4"/>
    </row>
    <row r="73" spans="1:6">
      <c r="A73" t="s">
        <v>265</v>
      </c>
      <c r="B73" s="4">
        <v>1.06</v>
      </c>
      <c r="C73" s="4">
        <v>1.35</v>
      </c>
      <c r="D73" s="4">
        <v>1.22</v>
      </c>
      <c r="E73" s="4">
        <v>0.92</v>
      </c>
      <c r="F73" s="4">
        <v>0.89</v>
      </c>
    </row>
    <row r="74" spans="1:6">
      <c r="A74" t="s">
        <v>264</v>
      </c>
      <c r="B74" s="4">
        <v>1.06</v>
      </c>
      <c r="C74" s="4">
        <v>1.31</v>
      </c>
      <c r="D74" s="4">
        <v>1.18</v>
      </c>
      <c r="E74" s="4">
        <v>0.9</v>
      </c>
      <c r="F74" s="4">
        <v>0.87</v>
      </c>
    </row>
    <row r="75" spans="1:6">
      <c r="A75" t="s">
        <v>321</v>
      </c>
      <c r="B75" s="4">
        <v>744</v>
      </c>
      <c r="C75" s="4">
        <v>732</v>
      </c>
      <c r="D75" s="4">
        <v>563</v>
      </c>
      <c r="E75" s="4">
        <v>453</v>
      </c>
      <c r="F75" s="4">
        <v>227</v>
      </c>
    </row>
  </sheetData>
  <phoneticPr fontId="4"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3"/>
  <dimension ref="A1:F76"/>
  <sheetViews>
    <sheetView workbookViewId="0"/>
  </sheetViews>
  <sheetFormatPr defaultRowHeight="12"/>
  <cols>
    <col min="1" max="1" width="43.875" customWidth="1"/>
    <col min="2" max="5" width="9.875" customWidth="1"/>
    <col min="6" max="6" width="13" customWidth="1"/>
  </cols>
  <sheetData>
    <row r="1" spans="1:6">
      <c r="A1" s="5" t="str">
        <f>'Quick Analysis'!F2</f>
        <v>CSCO</v>
      </c>
    </row>
    <row r="2" spans="1:6">
      <c r="B2">
        <v>2009</v>
      </c>
      <c r="C2">
        <v>2008</v>
      </c>
      <c r="D2">
        <v>2007</v>
      </c>
      <c r="E2">
        <v>2006</v>
      </c>
      <c r="F2">
        <v>2005</v>
      </c>
    </row>
    <row r="3" spans="1:6">
      <c r="A3" t="s">
        <v>18</v>
      </c>
      <c r="B3" s="3">
        <v>40019</v>
      </c>
      <c r="C3" s="3">
        <v>39655</v>
      </c>
      <c r="D3" s="3">
        <v>39291</v>
      </c>
      <c r="E3" s="3">
        <v>38927</v>
      </c>
      <c r="F3" s="3">
        <v>38563</v>
      </c>
    </row>
    <row r="5" spans="1:6">
      <c r="A5" t="s">
        <v>22</v>
      </c>
      <c r="B5" t="s">
        <v>23</v>
      </c>
      <c r="C5" t="s">
        <v>23</v>
      </c>
      <c r="D5" t="s">
        <v>23</v>
      </c>
      <c r="E5" t="s">
        <v>23</v>
      </c>
      <c r="F5" t="s">
        <v>23</v>
      </c>
    </row>
    <row r="6" spans="1:6">
      <c r="A6" t="s">
        <v>24</v>
      </c>
      <c r="B6" s="3">
        <v>40067</v>
      </c>
      <c r="C6" s="3">
        <v>39706</v>
      </c>
      <c r="D6" s="3">
        <v>39343</v>
      </c>
      <c r="E6" s="3">
        <v>38978</v>
      </c>
      <c r="F6" s="3">
        <v>38978</v>
      </c>
    </row>
    <row r="7" spans="1:6">
      <c r="A7" t="s">
        <v>25</v>
      </c>
      <c r="B7" t="s">
        <v>26</v>
      </c>
      <c r="C7" t="s">
        <v>26</v>
      </c>
      <c r="D7" t="s">
        <v>26</v>
      </c>
      <c r="E7" t="s">
        <v>26</v>
      </c>
      <c r="F7" t="s">
        <v>125</v>
      </c>
    </row>
    <row r="9" spans="1:6">
      <c r="A9" t="s">
        <v>61</v>
      </c>
      <c r="B9" s="4"/>
      <c r="C9" s="4"/>
      <c r="D9" s="4"/>
      <c r="E9" s="4"/>
    </row>
    <row r="10" spans="1:6">
      <c r="A10" t="s">
        <v>62</v>
      </c>
      <c r="B10" s="4">
        <v>35001</v>
      </c>
      <c r="C10" s="4">
        <v>26235</v>
      </c>
      <c r="D10" s="4">
        <v>22266</v>
      </c>
      <c r="E10" s="4">
        <v>17814</v>
      </c>
      <c r="F10" s="4">
        <v>16055</v>
      </c>
    </row>
    <row r="11" spans="1:6">
      <c r="A11" t="s">
        <v>63</v>
      </c>
      <c r="B11" s="4">
        <v>5718</v>
      </c>
      <c r="C11" s="4">
        <v>5191</v>
      </c>
      <c r="D11" s="4">
        <v>3728</v>
      </c>
      <c r="E11" s="4">
        <v>3297</v>
      </c>
      <c r="F11" s="4">
        <v>4742</v>
      </c>
    </row>
    <row r="12" spans="1:6">
      <c r="A12" t="s">
        <v>330</v>
      </c>
      <c r="B12" s="4">
        <v>29283</v>
      </c>
      <c r="C12" s="4">
        <v>21044</v>
      </c>
      <c r="D12" s="4">
        <v>18538</v>
      </c>
      <c r="E12" s="4">
        <v>14517</v>
      </c>
      <c r="F12" s="4">
        <v>11313</v>
      </c>
    </row>
    <row r="13" spans="1:6">
      <c r="A13" t="s">
        <v>64</v>
      </c>
      <c r="B13" s="4">
        <v>3177</v>
      </c>
      <c r="C13" s="4">
        <v>3821</v>
      </c>
      <c r="D13" s="4">
        <v>3989</v>
      </c>
      <c r="E13" s="4">
        <v>3303</v>
      </c>
      <c r="F13" s="4">
        <v>2216</v>
      </c>
    </row>
    <row r="14" spans="1:6">
      <c r="A14" t="s">
        <v>65</v>
      </c>
      <c r="B14" s="4">
        <v>3177</v>
      </c>
      <c r="C14" s="4">
        <v>3821</v>
      </c>
      <c r="D14" s="4">
        <v>3989</v>
      </c>
      <c r="E14" s="4">
        <v>3303</v>
      </c>
      <c r="F14" s="4">
        <v>2216</v>
      </c>
    </row>
    <row r="15" spans="1:6">
      <c r="A15" t="s">
        <v>322</v>
      </c>
      <c r="B15" s="4">
        <v>3393</v>
      </c>
      <c r="C15" s="4">
        <v>3998</v>
      </c>
      <c r="D15" s="4">
        <v>4155</v>
      </c>
      <c r="E15" s="4">
        <v>3478</v>
      </c>
      <c r="F15" s="4">
        <v>2378</v>
      </c>
    </row>
    <row r="16" spans="1:6">
      <c r="A16" t="s">
        <v>323</v>
      </c>
      <c r="B16" s="4">
        <v>-216</v>
      </c>
      <c r="C16" s="4">
        <v>-177</v>
      </c>
      <c r="D16" s="4">
        <v>-166</v>
      </c>
      <c r="E16" s="4">
        <v>-175</v>
      </c>
      <c r="F16" s="4">
        <v>-162</v>
      </c>
    </row>
    <row r="17" spans="1:6">
      <c r="A17" t="s">
        <v>66</v>
      </c>
      <c r="B17" s="4">
        <v>1074</v>
      </c>
      <c r="C17" s="4">
        <v>1235</v>
      </c>
      <c r="D17" s="4">
        <v>1322</v>
      </c>
      <c r="E17" s="4">
        <v>1371</v>
      </c>
      <c r="F17" s="4">
        <v>1297</v>
      </c>
    </row>
    <row r="18" spans="1:6">
      <c r="A18" t="s">
        <v>60</v>
      </c>
      <c r="B18" s="4">
        <v>2605</v>
      </c>
      <c r="C18" s="4">
        <v>2333</v>
      </c>
      <c r="D18" s="4">
        <v>2044</v>
      </c>
      <c r="E18" s="4">
        <v>1584</v>
      </c>
      <c r="F18" s="4">
        <v>967</v>
      </c>
    </row>
    <row r="19" spans="1:6">
      <c r="A19" t="s">
        <v>67</v>
      </c>
      <c r="B19" s="4">
        <v>2320</v>
      </c>
      <c r="C19" s="4">
        <v>2075</v>
      </c>
      <c r="D19" s="4">
        <v>1953</v>
      </c>
      <c r="E19" s="4">
        <v>1604</v>
      </c>
      <c r="F19" s="4">
        <v>1475</v>
      </c>
    </row>
    <row r="20" spans="1:6">
      <c r="A20" t="s">
        <v>9</v>
      </c>
      <c r="B20" s="4">
        <v>44177</v>
      </c>
      <c r="C20" s="4">
        <v>35699</v>
      </c>
      <c r="D20" s="4">
        <v>31574</v>
      </c>
      <c r="E20" s="4">
        <v>25676</v>
      </c>
      <c r="F20" s="4">
        <v>22010</v>
      </c>
    </row>
    <row r="21" spans="1:6">
      <c r="B21" s="4"/>
      <c r="C21" s="4"/>
      <c r="D21" s="4"/>
      <c r="E21" s="4"/>
      <c r="F21" s="4"/>
    </row>
    <row r="22" spans="1:6">
      <c r="A22" t="s">
        <v>68</v>
      </c>
      <c r="B22" s="4">
        <v>4043</v>
      </c>
      <c r="C22" s="4">
        <v>4151</v>
      </c>
      <c r="D22" s="4">
        <v>3893</v>
      </c>
      <c r="E22" s="4">
        <v>3440</v>
      </c>
      <c r="F22" s="4">
        <v>3320</v>
      </c>
    </row>
    <row r="23" spans="1:6">
      <c r="A23" t="s">
        <v>69</v>
      </c>
      <c r="B23" s="4">
        <v>12925</v>
      </c>
      <c r="C23" s="4">
        <v>12392</v>
      </c>
      <c r="D23" s="4">
        <v>12121</v>
      </c>
      <c r="E23" s="4">
        <v>9227</v>
      </c>
      <c r="F23" s="4">
        <v>5295</v>
      </c>
    </row>
    <row r="24" spans="1:6">
      <c r="A24" t="s">
        <v>70</v>
      </c>
      <c r="B24" s="4">
        <v>1702</v>
      </c>
      <c r="C24" s="4">
        <v>2089</v>
      </c>
      <c r="D24" s="4">
        <v>2540</v>
      </c>
      <c r="E24" s="4">
        <v>2161</v>
      </c>
      <c r="F24" s="4">
        <v>549</v>
      </c>
    </row>
    <row r="25" spans="1:6">
      <c r="A25" t="s">
        <v>71</v>
      </c>
      <c r="B25" s="4">
        <v>709</v>
      </c>
      <c r="C25" s="4">
        <v>706</v>
      </c>
      <c r="D25" s="4">
        <v>643</v>
      </c>
      <c r="E25" s="4">
        <v>574</v>
      </c>
      <c r="F25" s="4">
        <v>421</v>
      </c>
    </row>
    <row r="26" spans="1:6">
      <c r="A26" t="s">
        <v>72</v>
      </c>
      <c r="B26" s="4">
        <v>966</v>
      </c>
      <c r="C26" s="4">
        <v>862</v>
      </c>
      <c r="D26" s="4">
        <v>816</v>
      </c>
      <c r="E26" s="4">
        <v>743</v>
      </c>
      <c r="F26" s="4">
        <v>630</v>
      </c>
    </row>
    <row r="27" spans="1:6">
      <c r="A27" t="s">
        <v>73</v>
      </c>
      <c r="B27" s="4">
        <v>3606</v>
      </c>
      <c r="C27" s="4">
        <v>2835</v>
      </c>
      <c r="D27" s="4">
        <v>1753</v>
      </c>
      <c r="E27" s="4">
        <v>1494</v>
      </c>
      <c r="F27" s="4">
        <v>1658</v>
      </c>
    </row>
    <row r="28" spans="1:6">
      <c r="A28" t="s">
        <v>74</v>
      </c>
      <c r="B28" s="4">
        <v>0</v>
      </c>
      <c r="C28" s="4">
        <v>0</v>
      </c>
      <c r="D28" s="4">
        <v>0</v>
      </c>
      <c r="E28" s="4">
        <v>0</v>
      </c>
      <c r="F28" s="4">
        <v>0</v>
      </c>
    </row>
    <row r="29" spans="1:6">
      <c r="A29" t="s">
        <v>75</v>
      </c>
      <c r="B29" s="4">
        <v>68128</v>
      </c>
      <c r="C29" s="4">
        <v>58734</v>
      </c>
      <c r="D29" s="4">
        <v>53340</v>
      </c>
      <c r="E29" s="4">
        <v>43315</v>
      </c>
      <c r="F29" s="4">
        <v>33883</v>
      </c>
    </row>
    <row r="30" spans="1:6">
      <c r="B30" s="4"/>
      <c r="C30" s="4"/>
      <c r="D30" s="4"/>
      <c r="E30" s="4"/>
      <c r="F30" s="4"/>
    </row>
    <row r="31" spans="1:6">
      <c r="A31" t="s">
        <v>76</v>
      </c>
      <c r="B31" s="4"/>
      <c r="C31" s="4"/>
      <c r="D31" s="4"/>
      <c r="E31" s="4"/>
      <c r="F31" s="4"/>
    </row>
    <row r="32" spans="1:6">
      <c r="A32" t="s">
        <v>37</v>
      </c>
      <c r="B32" s="4">
        <v>675</v>
      </c>
      <c r="C32" s="4">
        <v>869</v>
      </c>
      <c r="D32" s="4">
        <v>786</v>
      </c>
      <c r="E32" s="4">
        <v>880</v>
      </c>
      <c r="F32" s="4">
        <v>735</v>
      </c>
    </row>
    <row r="33" spans="1:6">
      <c r="A33" t="s">
        <v>77</v>
      </c>
      <c r="B33" s="4">
        <v>0</v>
      </c>
      <c r="C33" s="4">
        <v>0</v>
      </c>
      <c r="D33" s="4">
        <v>0</v>
      </c>
      <c r="E33" s="4">
        <v>0</v>
      </c>
      <c r="F33" s="4">
        <v>0</v>
      </c>
    </row>
    <row r="34" spans="1:6">
      <c r="A34" t="s">
        <v>38</v>
      </c>
      <c r="B34" s="4">
        <v>6376</v>
      </c>
      <c r="C34" s="4">
        <v>6185</v>
      </c>
      <c r="D34" s="4">
        <v>5441</v>
      </c>
      <c r="E34" s="4">
        <v>4281</v>
      </c>
      <c r="F34" s="4">
        <v>3411</v>
      </c>
    </row>
    <row r="35" spans="1:6">
      <c r="A35" t="s">
        <v>78</v>
      </c>
      <c r="B35" s="4">
        <v>0</v>
      </c>
      <c r="C35" s="4">
        <v>0</v>
      </c>
      <c r="D35" s="4">
        <v>0</v>
      </c>
      <c r="E35" s="4">
        <v>0</v>
      </c>
      <c r="F35" s="4">
        <v>0</v>
      </c>
    </row>
    <row r="36" spans="1:6">
      <c r="A36" t="s">
        <v>79</v>
      </c>
      <c r="B36" s="4">
        <v>0</v>
      </c>
      <c r="C36" s="4">
        <v>500</v>
      </c>
      <c r="D36" s="4">
        <v>0</v>
      </c>
      <c r="E36" s="4">
        <v>0</v>
      </c>
      <c r="F36" s="4">
        <v>0</v>
      </c>
    </row>
    <row r="37" spans="1:6">
      <c r="A37" t="s">
        <v>80</v>
      </c>
      <c r="B37" s="4">
        <v>6604</v>
      </c>
      <c r="C37" s="4">
        <v>6304</v>
      </c>
      <c r="D37" s="4">
        <v>7131</v>
      </c>
      <c r="E37" s="4">
        <v>6152</v>
      </c>
      <c r="F37" s="4">
        <v>5365</v>
      </c>
    </row>
    <row r="38" spans="1:6">
      <c r="A38" t="s">
        <v>10</v>
      </c>
      <c r="B38" s="4">
        <v>13655</v>
      </c>
      <c r="C38" s="4">
        <v>13858</v>
      </c>
      <c r="D38" s="4">
        <v>13358</v>
      </c>
      <c r="E38" s="4">
        <v>11313</v>
      </c>
      <c r="F38" s="4">
        <v>9511</v>
      </c>
    </row>
    <row r="39" spans="1:6">
      <c r="B39" s="4"/>
      <c r="C39" s="4"/>
      <c r="D39" s="4"/>
      <c r="E39" s="4"/>
      <c r="F39" s="4"/>
    </row>
    <row r="40" spans="1:6">
      <c r="A40" t="s">
        <v>81</v>
      </c>
      <c r="B40" s="4">
        <v>10295</v>
      </c>
      <c r="C40" s="4">
        <v>6393</v>
      </c>
      <c r="D40" s="4">
        <v>6408</v>
      </c>
      <c r="E40" s="4">
        <v>6332</v>
      </c>
      <c r="F40" s="4">
        <v>0</v>
      </c>
    </row>
    <row r="41" spans="1:6">
      <c r="A41" t="s">
        <v>319</v>
      </c>
      <c r="B41" s="4">
        <v>10295</v>
      </c>
      <c r="C41" s="4">
        <v>6393</v>
      </c>
      <c r="D41" s="4">
        <v>6408</v>
      </c>
      <c r="E41" s="4">
        <v>6332</v>
      </c>
      <c r="F41" s="4">
        <v>0</v>
      </c>
    </row>
    <row r="42" spans="1:6">
      <c r="A42" t="s">
        <v>82</v>
      </c>
      <c r="B42" s="4">
        <v>0</v>
      </c>
      <c r="C42" s="4">
        <v>0</v>
      </c>
      <c r="D42" s="4">
        <v>0</v>
      </c>
      <c r="E42" s="4">
        <v>0</v>
      </c>
      <c r="F42" s="4">
        <v>0</v>
      </c>
    </row>
    <row r="43" spans="1:6">
      <c r="A43" t="s">
        <v>83</v>
      </c>
      <c r="B43" s="4">
        <v>30</v>
      </c>
      <c r="C43" s="4">
        <v>49</v>
      </c>
      <c r="D43" s="4">
        <v>10</v>
      </c>
      <c r="E43" s="4">
        <v>6</v>
      </c>
      <c r="F43" s="4">
        <v>10</v>
      </c>
    </row>
    <row r="44" spans="1:6">
      <c r="A44" t="s">
        <v>84</v>
      </c>
      <c r="B44" s="4">
        <v>5501</v>
      </c>
      <c r="C44" s="4">
        <v>4081</v>
      </c>
      <c r="D44" s="4">
        <v>2084</v>
      </c>
      <c r="E44" s="4">
        <v>1752</v>
      </c>
      <c r="F44" s="4">
        <v>1188</v>
      </c>
    </row>
    <row r="45" spans="1:6">
      <c r="A45" t="s">
        <v>85</v>
      </c>
      <c r="B45" s="4">
        <v>29481</v>
      </c>
      <c r="C45" s="4">
        <v>24381</v>
      </c>
      <c r="D45" s="4">
        <v>21860</v>
      </c>
      <c r="E45" s="4">
        <v>19403</v>
      </c>
      <c r="F45" s="4">
        <v>10709</v>
      </c>
    </row>
    <row r="46" spans="1:6">
      <c r="B46" s="4"/>
      <c r="C46" s="4"/>
      <c r="D46" s="4"/>
      <c r="E46" s="4"/>
      <c r="F46" s="4"/>
    </row>
    <row r="47" spans="1:6">
      <c r="A47" t="s">
        <v>86</v>
      </c>
      <c r="B47">
        <v>0</v>
      </c>
      <c r="C47" s="4">
        <v>0</v>
      </c>
      <c r="D47" s="4">
        <v>0</v>
      </c>
      <c r="E47" s="4">
        <v>0</v>
      </c>
      <c r="F47" s="4">
        <v>0</v>
      </c>
    </row>
    <row r="48" spans="1:6">
      <c r="A48" t="s">
        <v>87</v>
      </c>
      <c r="B48" s="4">
        <v>0</v>
      </c>
      <c r="C48" s="4">
        <v>0</v>
      </c>
      <c r="D48" s="4">
        <v>0</v>
      </c>
      <c r="E48" s="4">
        <v>0</v>
      </c>
      <c r="F48" s="4">
        <v>0</v>
      </c>
    </row>
    <row r="49" spans="1:6">
      <c r="A49" t="s">
        <v>88</v>
      </c>
      <c r="B49" s="4">
        <v>34344</v>
      </c>
      <c r="C49" s="4">
        <v>33505</v>
      </c>
      <c r="D49" s="4">
        <v>30687</v>
      </c>
      <c r="E49" s="4">
        <v>24257</v>
      </c>
      <c r="F49" s="4">
        <v>22394</v>
      </c>
    </row>
    <row r="50" spans="1:6">
      <c r="A50" t="s">
        <v>89</v>
      </c>
      <c r="B50" s="4">
        <v>3868</v>
      </c>
      <c r="C50" s="4">
        <v>120</v>
      </c>
      <c r="D50" s="4">
        <v>231</v>
      </c>
      <c r="E50" s="4">
        <v>-617</v>
      </c>
      <c r="F50" s="4">
        <v>506</v>
      </c>
    </row>
    <row r="51" spans="1:6">
      <c r="A51" t="s">
        <v>90</v>
      </c>
      <c r="B51" s="4">
        <v>435</v>
      </c>
      <c r="C51" s="4">
        <v>728</v>
      </c>
      <c r="D51" s="4">
        <v>562</v>
      </c>
      <c r="E51" s="4">
        <v>272</v>
      </c>
      <c r="F51" s="4">
        <v>274</v>
      </c>
    </row>
    <row r="52" spans="1:6">
      <c r="A52" t="s">
        <v>91</v>
      </c>
      <c r="B52" s="4">
        <v>38647</v>
      </c>
      <c r="C52" s="4">
        <v>34353</v>
      </c>
      <c r="D52" s="4">
        <v>31480</v>
      </c>
      <c r="E52" s="4">
        <v>23912</v>
      </c>
      <c r="F52" s="4">
        <v>23174</v>
      </c>
    </row>
    <row r="53" spans="1:6">
      <c r="B53" s="4"/>
      <c r="C53" s="4"/>
      <c r="D53" s="4"/>
      <c r="E53" s="4"/>
      <c r="F53" s="4"/>
    </row>
    <row r="54" spans="1:6">
      <c r="A54" t="s">
        <v>92</v>
      </c>
      <c r="B54" s="4">
        <v>68128</v>
      </c>
      <c r="C54" s="4">
        <v>58734</v>
      </c>
      <c r="D54" s="4">
        <v>53340</v>
      </c>
      <c r="E54" s="4">
        <v>43315</v>
      </c>
      <c r="F54" s="4">
        <v>33883</v>
      </c>
    </row>
    <row r="55" spans="1:6">
      <c r="B55" s="4"/>
      <c r="C55" s="4"/>
      <c r="D55" s="4"/>
      <c r="E55" s="4"/>
      <c r="F55" s="4"/>
    </row>
    <row r="56" spans="1:6">
      <c r="B56" s="4"/>
      <c r="C56" s="4"/>
      <c r="D56" s="4"/>
      <c r="E56" s="4"/>
      <c r="F56" s="4"/>
    </row>
    <row r="57" spans="1:6">
      <c r="A57" t="s">
        <v>93</v>
      </c>
      <c r="B57" s="4">
        <v>5785</v>
      </c>
      <c r="C57" s="4">
        <v>5893</v>
      </c>
      <c r="D57" s="4">
        <v>6100</v>
      </c>
      <c r="E57" s="4">
        <v>6059</v>
      </c>
      <c r="F57" s="4">
        <v>6331</v>
      </c>
    </row>
    <row r="58" spans="1:6">
      <c r="A58" t="s">
        <v>94</v>
      </c>
      <c r="B58" s="4">
        <v>0</v>
      </c>
      <c r="C58" s="4">
        <v>0</v>
      </c>
      <c r="D58" s="4">
        <v>0</v>
      </c>
      <c r="E58" s="4">
        <v>0</v>
      </c>
      <c r="F58" s="4">
        <v>0</v>
      </c>
    </row>
    <row r="59" spans="1:6">
      <c r="B59" s="4"/>
    </row>
    <row r="60" spans="1:6">
      <c r="B60" s="4"/>
    </row>
    <row r="61" spans="1:6">
      <c r="B61" s="4"/>
    </row>
    <row r="62" spans="1:6">
      <c r="B62" s="4"/>
    </row>
    <row r="63" spans="1:6">
      <c r="B63" s="4"/>
    </row>
    <row r="64" spans="1:6">
      <c r="B64" s="4"/>
    </row>
    <row r="65" spans="2:6">
      <c r="B65" s="4"/>
    </row>
    <row r="66" spans="2:6">
      <c r="B66" s="4"/>
    </row>
    <row r="67" spans="2:6">
      <c r="B67" s="4"/>
    </row>
    <row r="68" spans="2:6">
      <c r="B68" s="4"/>
    </row>
    <row r="69" spans="2:6">
      <c r="B69" s="4"/>
    </row>
    <row r="70" spans="2:6">
      <c r="B70" s="4"/>
    </row>
    <row r="71" spans="2:6">
      <c r="B71" s="4"/>
      <c r="C71" s="4"/>
      <c r="D71" s="4"/>
      <c r="E71" s="4"/>
      <c r="F71" s="4"/>
    </row>
    <row r="72" spans="2:6">
      <c r="B72" s="4"/>
      <c r="C72" s="4"/>
      <c r="D72" s="4"/>
      <c r="E72" s="4"/>
      <c r="F72" s="4"/>
    </row>
    <row r="73" spans="2:6">
      <c r="B73" s="4"/>
      <c r="C73" s="4"/>
      <c r="D73" s="4"/>
      <c r="E73" s="4"/>
      <c r="F73" s="4"/>
    </row>
    <row r="74" spans="2:6">
      <c r="B74" s="4"/>
      <c r="C74" s="4"/>
      <c r="D74" s="4"/>
      <c r="E74" s="4"/>
      <c r="F74" s="4"/>
    </row>
    <row r="75" spans="2:6">
      <c r="C75" s="4"/>
      <c r="D75" s="4"/>
      <c r="E75" s="4"/>
      <c r="F75" s="4"/>
    </row>
    <row r="76" spans="2:6">
      <c r="F76" s="4"/>
    </row>
  </sheetData>
  <phoneticPr fontId="4" type="noConversion"/>
  <pageMargins left="0.75" right="0.75" top="1" bottom="1" header="0.5" footer="0.5"/>
  <pageSetup orientation="portrait" horizontalDpi="4294967294" verticalDpi="0" r:id="rId1"/>
  <headerFooter alignWithMargins="0"/>
</worksheet>
</file>

<file path=xl/worksheets/sheet2.xml><?xml version="1.0" encoding="utf-8"?>
<worksheet xmlns="http://schemas.openxmlformats.org/spreadsheetml/2006/main" xmlns:r="http://schemas.openxmlformats.org/officeDocument/2006/relationships">
  <sheetPr codeName="Sheet6" enableFormatConditionsCalculation="0">
    <tabColor indexed="17"/>
    <pageSetUpPr fitToPage="1"/>
  </sheetPr>
  <dimension ref="A1:U64"/>
  <sheetViews>
    <sheetView showGridLines="0" showRowColHeaders="0" tabSelected="1" zoomScaleNormal="100" workbookViewId="0">
      <selection activeCell="F3" sqref="F3"/>
    </sheetView>
  </sheetViews>
  <sheetFormatPr defaultRowHeight="12"/>
  <cols>
    <col min="1" max="1" width="2.5" customWidth="1"/>
    <col min="2" max="2" width="18" customWidth="1"/>
    <col min="3" max="3" width="17.625" customWidth="1"/>
    <col min="4" max="4" width="23.5" customWidth="1"/>
    <col min="5" max="5" width="10.625" customWidth="1"/>
    <col min="6" max="6" width="14" customWidth="1"/>
    <col min="7" max="7" width="2.375" customWidth="1"/>
    <col min="8" max="8" width="7.5" hidden="1" customWidth="1"/>
    <col min="9" max="16" width="6" hidden="1" customWidth="1"/>
    <col min="17" max="17" width="14.625" customWidth="1"/>
  </cols>
  <sheetData>
    <row r="1" spans="1:17" ht="20.25" thickBot="1">
      <c r="B1" s="112" t="s">
        <v>234</v>
      </c>
      <c r="C1" s="112"/>
      <c r="D1" s="112"/>
      <c r="E1" s="112"/>
      <c r="F1" s="112"/>
      <c r="G1" s="55" t="s">
        <v>326</v>
      </c>
      <c r="H1" s="9"/>
    </row>
    <row r="2" spans="1:17" ht="20.25" thickBot="1">
      <c r="A2" s="65"/>
      <c r="B2" s="121" t="str">
        <f>'Company name'!A2</f>
        <v>Cisco Systems Inc: Company Report</v>
      </c>
      <c r="C2" s="122"/>
      <c r="D2" s="123"/>
      <c r="E2" s="36" t="s">
        <v>253</v>
      </c>
      <c r="F2" s="87" t="s">
        <v>332</v>
      </c>
      <c r="G2" s="9"/>
      <c r="H2" s="9"/>
    </row>
    <row r="3" spans="1:17" ht="12.75">
      <c r="B3" s="86" t="s">
        <v>194</v>
      </c>
      <c r="C3" s="85" t="str">
        <f>IF(Data!B33&lt;=500,"SmallCap",IF(Data!B33&lt;5000,"MidCap",IF(Data!B33&gt;=5000,"LargeCap","")))</f>
        <v>LargeCap</v>
      </c>
      <c r="D3" s="95">
        <f>Data!B1</f>
        <v>2009</v>
      </c>
      <c r="E3" s="84" t="s">
        <v>193</v>
      </c>
      <c r="G3" s="9"/>
      <c r="H3" s="38">
        <f>Data!B68</f>
        <v>36708</v>
      </c>
      <c r="I3" s="38">
        <f>Data!C68</f>
        <v>0</v>
      </c>
      <c r="J3" s="38">
        <f>Data!D68</f>
        <v>39996</v>
      </c>
      <c r="K3" s="38">
        <f>Data!E68</f>
        <v>39997</v>
      </c>
      <c r="L3" s="38">
        <f>Data!F68</f>
        <v>39998</v>
      </c>
      <c r="M3" s="38">
        <f>Data!H68</f>
        <v>39999</v>
      </c>
      <c r="N3" s="38">
        <f>Data!I68</f>
        <v>40000</v>
      </c>
      <c r="O3" s="38">
        <f>Data!J68</f>
        <v>40001</v>
      </c>
      <c r="P3" s="38">
        <f>Data!K68</f>
        <v>40002</v>
      </c>
      <c r="Q3" s="67" t="s">
        <v>244</v>
      </c>
    </row>
    <row r="4" spans="1:17" ht="12.75">
      <c r="B4" s="28"/>
      <c r="C4" s="28"/>
      <c r="D4" s="28"/>
      <c r="E4" s="28"/>
      <c r="F4" s="58" t="s">
        <v>237</v>
      </c>
      <c r="G4" s="9"/>
      <c r="H4" s="9"/>
    </row>
    <row r="5" spans="1:17" ht="12.75">
      <c r="B5" s="102" t="s">
        <v>226</v>
      </c>
      <c r="C5" s="103"/>
      <c r="D5" s="35"/>
      <c r="E5" s="52"/>
      <c r="F5" s="46">
        <f>IF(SUM(H5:Q5)=9,10,SUM(H5:Q5))</f>
        <v>5.5</v>
      </c>
      <c r="H5" s="9">
        <f>IF(Data!B69&lt;Data!C69,1.1,0)</f>
        <v>0</v>
      </c>
      <c r="I5" s="9">
        <f>IF(Data!C69&lt;Data!D69,1.1,0)</f>
        <v>0</v>
      </c>
      <c r="J5" s="9">
        <f>IF(Data!D69&lt;Data!E69,1.1,0)</f>
        <v>0</v>
      </c>
      <c r="K5" s="9">
        <f>IF(Data!E69&lt;Data!F69,1.1,0)</f>
        <v>1.1000000000000001</v>
      </c>
      <c r="L5" s="9">
        <f>IF(Data!F69&lt;Data!H69,1.1,0)</f>
        <v>1.1000000000000001</v>
      </c>
      <c r="M5" s="9">
        <f>IF(Data!H69&lt;Data!I69,1.1,0)</f>
        <v>1.1000000000000001</v>
      </c>
      <c r="N5" s="9">
        <f>IF(Data!I69&lt;Data!J69,1.1,0)</f>
        <v>1.1000000000000001</v>
      </c>
      <c r="O5" s="9">
        <f>IF(Data!J69&lt;Data!K69,1.1,0)</f>
        <v>1.1000000000000001</v>
      </c>
      <c r="P5" s="9">
        <f>IF(Data!K69&lt;Data!L69,1.1,0)</f>
        <v>0</v>
      </c>
      <c r="Q5" s="9"/>
    </row>
    <row r="6" spans="1:17" ht="12.75">
      <c r="B6" s="111" t="s">
        <v>199</v>
      </c>
      <c r="C6" s="111"/>
      <c r="D6" s="111"/>
      <c r="E6" s="111"/>
      <c r="F6" s="44"/>
      <c r="H6" s="9"/>
      <c r="I6" s="9"/>
      <c r="J6" s="9"/>
      <c r="K6" s="9"/>
    </row>
    <row r="7" spans="1:17" ht="12.75">
      <c r="B7" s="102" t="s">
        <v>227</v>
      </c>
      <c r="C7" s="103"/>
      <c r="D7" s="35"/>
      <c r="E7" s="35"/>
      <c r="F7" s="47">
        <f>H7</f>
        <v>0</v>
      </c>
      <c r="G7" s="9"/>
      <c r="H7" s="9">
        <f>IF(2*Data!F69&lt;Data!L69,10,IF(2*Data!E69&lt;Data!L69,8,IF(2*Data!D69&lt;Data!L69,6,IF(2*Data!C69&lt;Data!L69,4,IF(2*Data!B69&lt;Data!L69,2,0)))))</f>
        <v>0</v>
      </c>
      <c r="I7" s="9"/>
      <c r="J7" s="9"/>
      <c r="K7" s="9"/>
    </row>
    <row r="8" spans="1:17" ht="12.75">
      <c r="B8" s="107" t="s">
        <v>200</v>
      </c>
      <c r="C8" s="107"/>
      <c r="D8" s="107"/>
      <c r="E8" s="107"/>
      <c r="F8" s="45"/>
      <c r="G8" s="9"/>
      <c r="H8" s="9"/>
    </row>
    <row r="9" spans="1:17" ht="12.75">
      <c r="B9" s="9"/>
      <c r="C9" s="9"/>
      <c r="D9" s="9"/>
      <c r="E9" s="9"/>
      <c r="F9" s="45"/>
      <c r="G9" s="9"/>
      <c r="H9" s="9"/>
    </row>
    <row r="10" spans="1:17" ht="12.75">
      <c r="B10" s="102" t="s">
        <v>228</v>
      </c>
      <c r="C10" s="103"/>
      <c r="D10" s="103"/>
      <c r="E10" s="52"/>
      <c r="F10" s="46">
        <f>IF(SUM(H10:Q10)=9,10,SUM(H10:Q10))</f>
        <v>6.6</v>
      </c>
      <c r="G10" s="9"/>
      <c r="H10" s="9">
        <f>IF(Data!B70&lt;Data!C70,1.1,0)</f>
        <v>0</v>
      </c>
      <c r="I10" s="9">
        <f>IF(Data!C70&lt;Data!D70,1.1,0)</f>
        <v>0</v>
      </c>
      <c r="J10" s="9">
        <f>IF(Data!D70&lt;Data!E70,1.1,0)</f>
        <v>1.1000000000000001</v>
      </c>
      <c r="K10" s="9">
        <f>IF(Data!E70&lt;Data!F70,1.1,0)</f>
        <v>1.1000000000000001</v>
      </c>
      <c r="L10" s="9">
        <f>IF(Data!F70&lt;Data!H70,1.1,0)</f>
        <v>1.1000000000000001</v>
      </c>
      <c r="M10" s="9">
        <f>IF(Data!H70&lt;Data!I70,1.1,0)</f>
        <v>1.1000000000000001</v>
      </c>
      <c r="N10" s="9">
        <f>IF(Data!I70&lt;Data!J70,1.1,0)</f>
        <v>1.1000000000000001</v>
      </c>
      <c r="O10" s="9">
        <f>IF(Data!J70&lt;Data!K70,1.1,0)</f>
        <v>1.1000000000000001</v>
      </c>
      <c r="P10" s="9">
        <f>IF(Data!K70&lt;Data!L70,1.1,0)</f>
        <v>0</v>
      </c>
      <c r="Q10" s="9"/>
    </row>
    <row r="11" spans="1:17" ht="12.75">
      <c r="B11" s="111" t="s">
        <v>249</v>
      </c>
      <c r="C11" s="111"/>
      <c r="D11" s="111"/>
      <c r="E11" s="111"/>
      <c r="F11" s="45"/>
      <c r="G11" s="9"/>
      <c r="H11" s="9"/>
    </row>
    <row r="12" spans="1:17" ht="12.75">
      <c r="B12" s="108" t="s">
        <v>229</v>
      </c>
      <c r="C12" s="109"/>
      <c r="D12" s="35"/>
      <c r="E12" s="35"/>
      <c r="F12" s="47">
        <f>H12</f>
        <v>8</v>
      </c>
      <c r="G12" s="9"/>
      <c r="H12" s="9">
        <f>IF(2*Data!F70&lt;Data!L70,10,IF(2*Data!E70&lt;Data!L70,8,IF(2*Data!D70&lt;Data!L70,6,IF(2*Data!C70&lt;Data!L70,4,IF(2*Data!B70&lt;Data!L70,2,0)))))</f>
        <v>8</v>
      </c>
    </row>
    <row r="13" spans="1:17" ht="12.75">
      <c r="B13" s="107" t="s">
        <v>248</v>
      </c>
      <c r="C13" s="107"/>
      <c r="D13" s="107"/>
      <c r="E13" s="107"/>
      <c r="F13" s="45"/>
      <c r="G13" s="9"/>
      <c r="H13" s="9"/>
    </row>
    <row r="14" spans="1:17" ht="12.75">
      <c r="B14" s="9"/>
      <c r="C14" s="9"/>
      <c r="D14" s="9"/>
      <c r="E14" s="9"/>
      <c r="F14" s="45"/>
      <c r="G14" s="9"/>
      <c r="H14" s="9"/>
    </row>
    <row r="15" spans="1:17" ht="12.75">
      <c r="B15" s="108" t="s">
        <v>230</v>
      </c>
      <c r="C15" s="109"/>
      <c r="D15" s="35"/>
      <c r="E15" s="52"/>
      <c r="F15" s="48" t="str">
        <f>IF(AND(SUM(H15:K15)&gt;0,M15&gt;0),SUM(H15:K15),"No dividend pd")</f>
        <v>No dividend pd</v>
      </c>
      <c r="G15" s="9"/>
      <c r="H15" s="9">
        <f>IF(Data!I45&gt;Data!H45,1.2,0)</f>
        <v>0</v>
      </c>
      <c r="I15" s="9">
        <f>IF(Data!J45&gt;Data!I45,1.2,0)</f>
        <v>0</v>
      </c>
      <c r="J15" s="9">
        <f>IF(Data!K45&gt;Data!J45,1.2,0)</f>
        <v>0</v>
      </c>
      <c r="K15" s="9">
        <f>IF(Data!L45&gt;Data!K45,1.2,0)</f>
        <v>0</v>
      </c>
      <c r="M15" s="5">
        <f>Data!L45</f>
        <v>0</v>
      </c>
      <c r="P15" s="68"/>
    </row>
    <row r="16" spans="1:17" ht="12.75">
      <c r="B16" s="120" t="s">
        <v>202</v>
      </c>
      <c r="C16" s="120"/>
      <c r="D16" s="120"/>
      <c r="E16" s="120"/>
      <c r="F16" s="49"/>
      <c r="G16" s="9"/>
      <c r="H16" s="9"/>
    </row>
    <row r="17" spans="2:8" ht="12.75">
      <c r="B17" s="29"/>
      <c r="C17" s="30"/>
      <c r="D17" s="9"/>
      <c r="E17" s="9"/>
      <c r="F17" s="49"/>
      <c r="G17" s="9"/>
      <c r="H17" s="9"/>
    </row>
    <row r="18" spans="2:8" ht="12.75">
      <c r="B18" s="108" t="s">
        <v>231</v>
      </c>
      <c r="C18" s="109"/>
      <c r="D18" s="109"/>
      <c r="E18" s="59">
        <f>H18</f>
        <v>0.22946353762702687</v>
      </c>
      <c r="F18" s="50">
        <f>IF(H18&gt;=20%,15,IF(H18&gt;=15%,12,IF(H18&gt;=10.5%,8,IF(H18&lt;10.5%,5,""))))</f>
        <v>15</v>
      </c>
      <c r="G18" s="9"/>
      <c r="H18" s="31">
        <f>AVERAGE(Data!J40:L40)</f>
        <v>0.22946353762702687</v>
      </c>
    </row>
    <row r="19" spans="2:8" ht="12.75">
      <c r="B19" s="29" t="s">
        <v>203</v>
      </c>
      <c r="C19" s="9" t="s">
        <v>206</v>
      </c>
      <c r="D19" s="9"/>
      <c r="E19" s="60"/>
      <c r="F19" s="49"/>
      <c r="G19" s="9"/>
      <c r="H19" s="31"/>
    </row>
    <row r="20" spans="2:8" ht="12.75">
      <c r="B20" s="29" t="s">
        <v>204</v>
      </c>
      <c r="C20" s="9" t="s">
        <v>205</v>
      </c>
      <c r="D20" s="9"/>
      <c r="E20" s="60"/>
      <c r="F20" s="49"/>
      <c r="G20" s="9"/>
      <c r="H20" s="9"/>
    </row>
    <row r="21" spans="2:8" ht="12.75">
      <c r="B21" s="53" t="s">
        <v>2</v>
      </c>
      <c r="C21" s="9"/>
      <c r="D21" s="9"/>
      <c r="E21" s="60"/>
      <c r="F21" s="49"/>
      <c r="G21" s="9"/>
      <c r="H21" s="9"/>
    </row>
    <row r="22" spans="2:8" ht="12.75">
      <c r="B22" s="108" t="s">
        <v>232</v>
      </c>
      <c r="C22" s="109"/>
      <c r="D22" s="35"/>
      <c r="E22" s="59">
        <f>H22</f>
        <v>0.20868340614161349</v>
      </c>
      <c r="F22" s="50">
        <f>IF(H22&gt;=19.5%,15,IF(H22&gt;=14.5%,12,IF(H22&gt;=10.5%,8,IF(H22&lt;10.5%,5,""))))</f>
        <v>15</v>
      </c>
      <c r="G22" s="9"/>
      <c r="H22" s="31">
        <f>AVERAGE(Data!J12:L12)</f>
        <v>0.20868340614161349</v>
      </c>
    </row>
    <row r="23" spans="2:8" ht="12.75">
      <c r="B23" s="29" t="s">
        <v>203</v>
      </c>
      <c r="C23" s="9" t="s">
        <v>206</v>
      </c>
      <c r="D23" s="9"/>
      <c r="E23" s="60"/>
      <c r="F23" s="51"/>
      <c r="G23" s="9"/>
      <c r="H23" s="9"/>
    </row>
    <row r="24" spans="2:8" ht="12.75">
      <c r="B24" s="29" t="s">
        <v>204</v>
      </c>
      <c r="C24" s="9" t="s">
        <v>205</v>
      </c>
      <c r="D24" s="9"/>
      <c r="E24" s="60"/>
      <c r="F24" s="51"/>
      <c r="G24" s="9"/>
      <c r="H24" s="9"/>
    </row>
    <row r="25" spans="2:8" ht="12.75">
      <c r="B25" s="116" t="s">
        <v>3</v>
      </c>
      <c r="C25" s="116"/>
      <c r="D25" s="9"/>
      <c r="E25" s="60"/>
      <c r="F25" s="49"/>
      <c r="G25" s="9"/>
      <c r="H25" s="9"/>
    </row>
    <row r="26" spans="2:8" ht="12.75">
      <c r="B26" s="108" t="s">
        <v>195</v>
      </c>
      <c r="C26" s="109"/>
      <c r="D26" s="35"/>
      <c r="E26" s="59">
        <f>H26</f>
        <v>0</v>
      </c>
      <c r="F26" s="50">
        <f>IF(H26&gt;=59.5%,0,IF(H26&gt;=29.5%,3,IF(H26&lt;29.5%,5,"")))</f>
        <v>5</v>
      </c>
      <c r="G26" s="9"/>
      <c r="H26" s="33">
        <f>Data!L21/Data!L28</f>
        <v>0</v>
      </c>
    </row>
    <row r="27" spans="2:8" ht="12.75">
      <c r="B27" s="29" t="s">
        <v>209</v>
      </c>
      <c r="C27" s="45" t="s">
        <v>207</v>
      </c>
      <c r="D27" s="9" t="s">
        <v>208</v>
      </c>
      <c r="E27" s="60"/>
      <c r="F27" s="49"/>
      <c r="G27" s="9"/>
      <c r="H27" s="33"/>
    </row>
    <row r="28" spans="2:8" ht="12.75">
      <c r="B28" s="110" t="s">
        <v>4</v>
      </c>
      <c r="C28" s="110"/>
      <c r="D28" s="9"/>
      <c r="E28" s="60"/>
      <c r="F28" s="49"/>
      <c r="G28" s="9"/>
      <c r="H28" s="9"/>
    </row>
    <row r="29" spans="2:8" ht="12.75">
      <c r="B29" s="102" t="s">
        <v>196</v>
      </c>
      <c r="C29" s="103"/>
      <c r="D29" s="103"/>
      <c r="E29" s="61">
        <f>H29</f>
        <v>3.2352251922372757</v>
      </c>
      <c r="F29" s="50">
        <f>IF(H29&gt;=2.05,5,IF(H29&gt;=0.95,3,IF(H29&lt;0.95,0)))</f>
        <v>5</v>
      </c>
      <c r="G29" s="9"/>
      <c r="H29" s="34">
        <f>Data!B9</f>
        <v>3.2352251922372757</v>
      </c>
    </row>
    <row r="30" spans="2:8" ht="12.75">
      <c r="B30" s="9" t="s">
        <v>210</v>
      </c>
      <c r="C30" s="45" t="s">
        <v>211</v>
      </c>
      <c r="D30" s="9" t="s">
        <v>212</v>
      </c>
      <c r="E30" s="60"/>
      <c r="F30" s="49"/>
      <c r="G30" s="9"/>
      <c r="H30" s="34"/>
    </row>
    <row r="31" spans="2:8" ht="12.75">
      <c r="B31" s="96" t="s">
        <v>5</v>
      </c>
      <c r="C31" s="97"/>
      <c r="D31" s="9"/>
      <c r="E31" s="60"/>
      <c r="F31" s="49"/>
      <c r="G31" s="9"/>
      <c r="H31" s="9"/>
    </row>
    <row r="32" spans="2:8" ht="12.75">
      <c r="B32" s="102" t="s">
        <v>197</v>
      </c>
      <c r="C32" s="103"/>
      <c r="D32" s="35"/>
      <c r="E32" s="101">
        <f>H32</f>
        <v>0.11</v>
      </c>
      <c r="F32" s="50">
        <f>IF(H32&gt;=19.5%,15,IF(H32&gt;=14.5%,12,IF(H32&gt;=10.5%,8,IF(H32&lt;10.5%,5,""))))</f>
        <v>8</v>
      </c>
      <c r="G32" s="9"/>
      <c r="H32" s="39">
        <f>Data!B73</f>
        <v>0.11</v>
      </c>
    </row>
    <row r="33" spans="2:21" ht="12.75">
      <c r="B33" s="29" t="s">
        <v>203</v>
      </c>
      <c r="C33" s="9" t="s">
        <v>206</v>
      </c>
      <c r="D33" s="9"/>
      <c r="E33" s="60"/>
      <c r="F33" s="49"/>
      <c r="G33" s="9"/>
      <c r="H33" s="9"/>
    </row>
    <row r="34" spans="2:21" ht="12.75">
      <c r="B34" s="29" t="s">
        <v>204</v>
      </c>
      <c r="C34" s="9" t="s">
        <v>205</v>
      </c>
      <c r="D34" s="9"/>
      <c r="E34" s="9"/>
      <c r="F34" s="49"/>
      <c r="G34" s="9"/>
      <c r="H34" s="9"/>
    </row>
    <row r="35" spans="2:21" ht="3" customHeight="1">
      <c r="B35" s="9" t="s">
        <v>201</v>
      </c>
      <c r="C35" s="9"/>
      <c r="D35" s="9"/>
      <c r="E35" s="9"/>
      <c r="F35" s="49"/>
      <c r="G35" s="9"/>
      <c r="H35" s="9"/>
    </row>
    <row r="36" spans="2:21" ht="12.75">
      <c r="B36" s="69" t="s">
        <v>198</v>
      </c>
      <c r="C36" s="70"/>
      <c r="D36" s="70"/>
      <c r="E36" s="70"/>
      <c r="F36" s="71">
        <f>SUM(F5:F35)</f>
        <v>68.099999999999994</v>
      </c>
      <c r="G36" s="9"/>
      <c r="H36" s="9"/>
      <c r="Q36" s="104" t="str">
        <f>IF(ISERROR(F36),"An error has occured in downloading data for this company.  Please close the spreadsheet WITHOUT SAVING IT.  Select another company.","")</f>
        <v/>
      </c>
      <c r="R36" s="104"/>
      <c r="S36" s="104"/>
      <c r="T36" s="104"/>
      <c r="U36" s="104"/>
    </row>
    <row r="37" spans="2:21" ht="12.75">
      <c r="B37" s="72" t="s">
        <v>215</v>
      </c>
      <c r="C37" s="73" t="s">
        <v>213</v>
      </c>
      <c r="D37" s="73" t="s">
        <v>214</v>
      </c>
      <c r="E37" s="73"/>
      <c r="F37" s="74" t="str">
        <f>IF(AND(F15="no dividend pd",F36&gt;=75),"Superior",IF(F36&gt;=80,"Superior",IF(F36&gt;=60,"Average",IF(F36&lt;=60,"Below Average"))))</f>
        <v>Average</v>
      </c>
      <c r="G37" s="9"/>
      <c r="H37" s="9"/>
      <c r="Q37" s="104"/>
      <c r="R37" s="104"/>
      <c r="S37" s="104"/>
      <c r="T37" s="104"/>
      <c r="U37" s="104"/>
    </row>
    <row r="38" spans="2:21" ht="12.75">
      <c r="B38" s="105" t="s">
        <v>216</v>
      </c>
      <c r="C38" s="106"/>
      <c r="D38" s="106"/>
      <c r="E38" s="75"/>
      <c r="F38" s="76"/>
      <c r="G38" s="9"/>
      <c r="H38" s="9"/>
      <c r="Q38" s="104"/>
      <c r="R38" s="104"/>
      <c r="S38" s="104"/>
      <c r="T38" s="104"/>
      <c r="U38" s="104"/>
    </row>
    <row r="39" spans="2:21" ht="12.75">
      <c r="B39" s="9"/>
      <c r="C39" s="128" t="str">
        <f>IF(ISERROR(F36),"Data required for this analysis is missing.  Try another company","")</f>
        <v/>
      </c>
      <c r="D39" s="128"/>
      <c r="E39" s="128"/>
      <c r="F39" s="128"/>
      <c r="G39" s="9"/>
      <c r="H39" s="9"/>
    </row>
    <row r="40" spans="2:21" ht="12.75">
      <c r="B40" s="117" t="s">
        <v>223</v>
      </c>
      <c r="C40" s="118"/>
      <c r="D40" s="130" t="str">
        <f>IF(F40&gt;1.5,"Caution this company is over priced",IF(F40&gt;=1.25,"This company is slightly over priced",IF(F40&lt;0.85,"The PEG ratio is very low.  Why?",IF(F40&lt;=1,"This company is fairly priced","A PEG Ratio less than 1.5 is acceptable"))))</f>
        <v>Caution this company is over priced</v>
      </c>
      <c r="E40" s="130"/>
      <c r="F40" s="77">
        <f>Data!B57</f>
        <v>1.79</v>
      </c>
      <c r="G40" s="9"/>
      <c r="H40" s="41"/>
    </row>
    <row r="41" spans="2:21" ht="12.75">
      <c r="B41" s="78" t="s">
        <v>224</v>
      </c>
      <c r="C41" s="79">
        <f>Price!B2</f>
        <v>22.94</v>
      </c>
      <c r="D41" s="78" t="s">
        <v>225</v>
      </c>
      <c r="E41" s="80">
        <f>Price!B9</f>
        <v>25.19</v>
      </c>
      <c r="G41" s="9"/>
    </row>
    <row r="42" spans="2:21" ht="12.75">
      <c r="B42" s="119" t="s">
        <v>245</v>
      </c>
      <c r="C42" s="119"/>
      <c r="D42" s="119"/>
      <c r="E42" s="90">
        <f>E41/C41-1</f>
        <v>9.8081952920662685E-2</v>
      </c>
      <c r="G42" s="9"/>
    </row>
    <row r="43" spans="2:21" ht="32.25" customHeight="1">
      <c r="B43" s="113" t="str">
        <f>IF(AND(D40="this company is fairly priced",F37="average"),"Even though the company is fairly priced, the score rating is Average.  Further research should be done before buying this company.  There may be something we don't know.",IF(AND(F40&lt;=1.5,F37="Superior"),"A Superior rating and a PEG ratio of less than 1.5 makes this company worth a closer look","Look for a company that is rated Superior and has a PEG of less than 1.5"))</f>
        <v>Look for a company that is rated Superior and has a PEG of less than 1.5</v>
      </c>
      <c r="C43" s="114"/>
      <c r="D43" s="114"/>
      <c r="E43" s="114"/>
      <c r="F43" s="115"/>
      <c r="G43" s="9"/>
      <c r="H43" s="9"/>
    </row>
    <row r="44" spans="2:21" ht="45.75" customHeight="1">
      <c r="B44" s="131" t="s">
        <v>312</v>
      </c>
      <c r="C44" s="132"/>
      <c r="D44" s="132"/>
      <c r="E44" s="132"/>
      <c r="F44" s="133"/>
      <c r="G44" s="9"/>
      <c r="H44" s="9"/>
    </row>
    <row r="45" spans="2:21" ht="39.75" customHeight="1">
      <c r="B45" s="136" t="s">
        <v>254</v>
      </c>
      <c r="C45" s="136"/>
      <c r="D45" s="136"/>
      <c r="E45" s="136"/>
      <c r="F45" s="136"/>
      <c r="G45" s="9"/>
      <c r="H45" s="9"/>
    </row>
    <row r="46" spans="2:21" ht="13.5" customHeight="1">
      <c r="B46" s="135" t="str">
        <f>'Peer companies'!C22</f>
        <v>ALU</v>
      </c>
      <c r="C46" s="135"/>
      <c r="D46" s="135"/>
      <c r="E46" s="135"/>
      <c r="F46" s="135"/>
      <c r="G46" s="9"/>
      <c r="H46" s="9"/>
    </row>
    <row r="47" spans="2:21" ht="13.5" customHeight="1">
      <c r="B47" s="135" t="str">
        <f>'Peer companies'!D22</f>
        <v>HPQ</v>
      </c>
      <c r="C47" s="135"/>
      <c r="D47" s="135"/>
      <c r="E47" s="135"/>
      <c r="F47" s="135"/>
      <c r="G47" s="9"/>
      <c r="H47" s="9"/>
    </row>
    <row r="48" spans="2:21" ht="13.5" customHeight="1">
      <c r="B48" s="132" t="str">
        <f>'Peer companies'!E22</f>
        <v>JNPR</v>
      </c>
      <c r="C48" s="132"/>
      <c r="D48" s="132"/>
      <c r="E48" s="132"/>
      <c r="F48" s="132"/>
      <c r="G48" s="9"/>
      <c r="H48" s="9"/>
    </row>
    <row r="49" spans="2:8" ht="13.5" customHeight="1">
      <c r="B49" s="8" t="s">
        <v>318</v>
      </c>
      <c r="C49" s="9"/>
      <c r="D49" s="9"/>
      <c r="E49" s="9"/>
      <c r="F49" s="9"/>
      <c r="G49" s="9"/>
      <c r="H49" s="9"/>
    </row>
    <row r="50" spans="2:8" ht="118.5" customHeight="1">
      <c r="B50" s="134" t="str">
        <f>'Co description'!A2</f>
        <v xml:space="preserve">We design, manufacture, and sell Internet Protocol (IP)-based networking and other products related to the communications and information technology industry and provide services associated with these products and their use. We provide a broad line of products for transporting data, voice, and video within buildings, across campuses, and around the world, which are designed to transform how people, connect, communicate, and collaborate. Our products, which include primarily routers, switches, and products that we refer to as our advanced technologies, are installed at large enterprises, public institutions, telecommunications companies, commercial businesses and personal residences. We conduct our business globally and are managed geographically in five segments: the United States and Canada; European Markets; Emerging Markets; Asia Pacific; and Japan.  ... More ...  </v>
      </c>
      <c r="C50" s="134"/>
      <c r="D50" s="134"/>
      <c r="E50" s="134"/>
      <c r="F50" s="134"/>
      <c r="G50" s="9"/>
      <c r="H50" s="9"/>
    </row>
    <row r="51" spans="2:8" ht="23.25" customHeight="1">
      <c r="B51" s="129" t="s">
        <v>240</v>
      </c>
      <c r="C51" s="129"/>
      <c r="D51" s="129"/>
      <c r="E51" s="129"/>
      <c r="F51" s="129"/>
      <c r="G51" s="43"/>
      <c r="H51" s="9"/>
    </row>
    <row r="52" spans="2:8" ht="15.75" customHeight="1">
      <c r="B52" s="125" t="s">
        <v>233</v>
      </c>
      <c r="C52" s="126"/>
      <c r="D52" s="126"/>
      <c r="E52" s="126"/>
      <c r="F52" s="127"/>
      <c r="G52" s="43"/>
      <c r="H52" s="9"/>
    </row>
    <row r="53" spans="2:8" ht="13.5" customHeight="1">
      <c r="B53" s="124" t="s">
        <v>1</v>
      </c>
      <c r="C53" s="124"/>
      <c r="D53" s="124"/>
      <c r="E53" s="124"/>
      <c r="F53" s="124"/>
      <c r="G53" s="94"/>
      <c r="H53" s="9"/>
    </row>
    <row r="54" spans="2:8" ht="12.75">
      <c r="B54" s="9"/>
      <c r="C54" s="9"/>
      <c r="D54" s="9"/>
      <c r="E54" s="9"/>
      <c r="F54" s="9"/>
      <c r="G54" s="9"/>
      <c r="H54" s="9"/>
    </row>
    <row r="55" spans="2:8" ht="12.75">
      <c r="B55" s="9"/>
      <c r="C55" s="9"/>
      <c r="D55" s="9"/>
      <c r="E55" s="9"/>
      <c r="F55" s="9"/>
      <c r="G55" s="9"/>
      <c r="H55" s="9"/>
    </row>
    <row r="56" spans="2:8" ht="12.75">
      <c r="B56" s="9"/>
      <c r="C56" s="9"/>
      <c r="D56" s="9"/>
      <c r="E56" s="9"/>
      <c r="F56" s="9"/>
      <c r="G56" s="9"/>
      <c r="H56" s="9"/>
    </row>
    <row r="57" spans="2:8" ht="12.75">
      <c r="B57" s="9"/>
      <c r="C57" s="9"/>
      <c r="D57" s="9"/>
      <c r="E57" s="9"/>
      <c r="F57" s="9"/>
      <c r="G57" s="9"/>
      <c r="H57" s="9"/>
    </row>
    <row r="58" spans="2:8" ht="12.75">
      <c r="B58" s="9"/>
      <c r="C58" s="9"/>
      <c r="D58" s="9"/>
      <c r="E58" s="9"/>
      <c r="F58" s="9"/>
      <c r="G58" s="9"/>
      <c r="H58" s="9"/>
    </row>
    <row r="59" spans="2:8" ht="12.75">
      <c r="B59" s="9"/>
      <c r="C59" s="9"/>
      <c r="D59" s="9"/>
      <c r="E59" s="9"/>
      <c r="F59" s="9"/>
      <c r="G59" s="9"/>
      <c r="H59" s="9"/>
    </row>
    <row r="60" spans="2:8" ht="12.75">
      <c r="B60" s="9"/>
      <c r="C60" s="9"/>
      <c r="D60" s="9"/>
      <c r="E60" s="9"/>
      <c r="F60" s="9"/>
      <c r="G60" s="9"/>
      <c r="H60" s="9"/>
    </row>
    <row r="61" spans="2:8" ht="12.75">
      <c r="B61" s="9"/>
      <c r="C61" s="9"/>
      <c r="D61" s="9"/>
      <c r="E61" s="9"/>
      <c r="F61" s="9"/>
      <c r="G61" s="9"/>
      <c r="H61" s="9"/>
    </row>
    <row r="62" spans="2:8" ht="12.75">
      <c r="B62" s="9"/>
      <c r="C62" s="9"/>
      <c r="D62" s="9"/>
      <c r="E62" s="9"/>
      <c r="F62" s="9"/>
      <c r="G62" s="9"/>
      <c r="H62" s="9"/>
    </row>
    <row r="63" spans="2:8" ht="12.75">
      <c r="B63" s="9"/>
      <c r="G63" s="9"/>
      <c r="H63" s="9"/>
    </row>
    <row r="64" spans="2:8" ht="12.75">
      <c r="B64" s="9"/>
    </row>
  </sheetData>
  <sheetProtection password="C70A" sheet="1"/>
  <mergeCells count="35">
    <mergeCell ref="B53:F53"/>
    <mergeCell ref="B52:F52"/>
    <mergeCell ref="C39:F39"/>
    <mergeCell ref="B51:F51"/>
    <mergeCell ref="D40:E40"/>
    <mergeCell ref="B44:F44"/>
    <mergeCell ref="B50:F50"/>
    <mergeCell ref="B47:F47"/>
    <mergeCell ref="B46:F46"/>
    <mergeCell ref="B48:F48"/>
    <mergeCell ref="B45:F45"/>
    <mergeCell ref="B1:F1"/>
    <mergeCell ref="B43:F43"/>
    <mergeCell ref="B18:D18"/>
    <mergeCell ref="B22:C22"/>
    <mergeCell ref="B25:C25"/>
    <mergeCell ref="B12:C12"/>
    <mergeCell ref="B13:E13"/>
    <mergeCell ref="B40:C40"/>
    <mergeCell ref="B42:D42"/>
    <mergeCell ref="B15:C15"/>
    <mergeCell ref="B16:E16"/>
    <mergeCell ref="B2:D2"/>
    <mergeCell ref="B5:C5"/>
    <mergeCell ref="B6:E6"/>
    <mergeCell ref="B32:C32"/>
    <mergeCell ref="Q36:U38"/>
    <mergeCell ref="B38:D38"/>
    <mergeCell ref="B7:C7"/>
    <mergeCell ref="B8:E8"/>
    <mergeCell ref="B26:C26"/>
    <mergeCell ref="B28:C28"/>
    <mergeCell ref="B29:D29"/>
    <mergeCell ref="B10:D10"/>
    <mergeCell ref="B11:E11"/>
  </mergeCells>
  <phoneticPr fontId="4" type="noConversion"/>
  <conditionalFormatting sqref="D41">
    <cfRule type="cellIs" dxfId="4" priority="1" stopIfTrue="1" operator="equal">
      <formula>"Caution this company is over priced"</formula>
    </cfRule>
    <cfRule type="cellIs" dxfId="3" priority="2" stopIfTrue="1" operator="equal">
      <formula>"This company is slightly over priced"</formula>
    </cfRule>
    <cfRule type="cellIs" dxfId="2" priority="3" stopIfTrue="1" operator="equal">
      <formula>"This company is fairly priced"</formula>
    </cfRule>
  </conditionalFormatting>
  <conditionalFormatting sqref="F15">
    <cfRule type="cellIs" dxfId="1" priority="4" stopIfTrue="1" operator="equal">
      <formula>"no dividend pd"</formula>
    </cfRule>
  </conditionalFormatting>
  <conditionalFormatting sqref="Q36:U38">
    <cfRule type="cellIs" dxfId="0" priority="9" stopIfTrue="1" operator="equal">
      <formula>"an error has occured in downloading data for this company.  Please close the spreadsheet WITHOUT SAVING IT.  Select another company."</formula>
    </cfRule>
  </conditionalFormatting>
  <hyperlinks>
    <hyperlink ref="F4" r:id="rId1" display="Find Ticker Symbol for a company"/>
    <hyperlink ref="Q3" location="Instructions!A1" display="Click here for Instructions"/>
  </hyperlinks>
  <printOptions horizontalCentered="1" verticalCentered="1"/>
  <pageMargins left="1" right="0.75" top="0" bottom="0" header="0.25" footer="0.25"/>
  <pageSetup scale="84" orientation="portrait" horizontalDpi="4294967293" verticalDpi="0"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sheetPr codeName="Sheet2"/>
  <dimension ref="A1:N77"/>
  <sheetViews>
    <sheetView topLeftCell="A40" zoomScale="95" workbookViewId="0">
      <selection activeCell="B75" sqref="B75"/>
    </sheetView>
  </sheetViews>
  <sheetFormatPr defaultRowHeight="12"/>
  <cols>
    <col min="1" max="1" width="42.875" customWidth="1"/>
    <col min="2" max="2" width="12.375" customWidth="1"/>
    <col min="3" max="3" width="9.75" customWidth="1"/>
    <col min="4" max="4" width="7" customWidth="1"/>
    <col min="5" max="5" width="7.625" customWidth="1"/>
    <col min="6" max="6" width="8.75" customWidth="1"/>
    <col min="7" max="7" width="2.5" style="23" customWidth="1"/>
    <col min="8" max="8" width="10.5" customWidth="1"/>
    <col min="9" max="11" width="11.875" bestFit="1" customWidth="1"/>
    <col min="12" max="12" width="9.5" bestFit="1" customWidth="1"/>
    <col min="13" max="13" width="43.25" customWidth="1"/>
  </cols>
  <sheetData>
    <row r="1" spans="1:13" ht="15">
      <c r="A1" s="7" t="s">
        <v>172</v>
      </c>
      <c r="B1" s="88">
        <f>'Balance Sheet'!B2</f>
        <v>2009</v>
      </c>
      <c r="C1" s="88">
        <f>'Balance Sheet'!C2</f>
        <v>2008</v>
      </c>
      <c r="D1" s="88">
        <f>'Balance Sheet'!D2</f>
        <v>2007</v>
      </c>
      <c r="E1" s="88">
        <f>'Balance Sheet'!E2</f>
        <v>2006</v>
      </c>
      <c r="F1" s="88">
        <f>'Balance Sheet'!F2</f>
        <v>2005</v>
      </c>
      <c r="H1" s="5">
        <f>F1</f>
        <v>2005</v>
      </c>
      <c r="I1" s="5">
        <f>E1</f>
        <v>2006</v>
      </c>
      <c r="J1" s="5">
        <f>D1</f>
        <v>2007</v>
      </c>
      <c r="K1" s="5">
        <f>C1</f>
        <v>2008</v>
      </c>
      <c r="L1" s="5">
        <f>B1</f>
        <v>2009</v>
      </c>
    </row>
    <row r="2" spans="1:13">
      <c r="A2" t="str">
        <f>INDEX('Balance Sheet'!$A$1:$F$70,MATCH("Cash and Short Term Investments",'Balance Sheet'!$A$1:$A$70,0),1)</f>
        <v>Cash and Short Term Investments</v>
      </c>
      <c r="B2">
        <f>INDEX('Balance Sheet'!$A$1:$F$70,MATCH("Cash and Short Term Investments",'Balance Sheet'!$A$1:$A$70,0),2)</f>
        <v>35001</v>
      </c>
      <c r="C2">
        <f>INDEX('Balance Sheet'!$A$2:$F$70,MATCH("Cash and Short Term Investments",'Balance Sheet'!$A$2:$A$70,0),3)</f>
        <v>26235</v>
      </c>
      <c r="D2">
        <f>INDEX('Balance Sheet'!$A$2:$F$59,MATCH("Cash and Short Term Investments",'Balance Sheet'!$A$2:$A$70,0),4)</f>
        <v>22266</v>
      </c>
      <c r="E2">
        <f>INDEX('Balance Sheet'!$A$2:$F$70,MATCH("Cash and Short Term Investments",'Balance Sheet'!$A$2:$A$70,0),5)</f>
        <v>17814</v>
      </c>
      <c r="F2">
        <f>INDEX('Balance Sheet'!$A$2:$F$59,MATCH("Cash and Short Term Investments",'Balance Sheet'!$A$2:$A$59,0),6)</f>
        <v>16055</v>
      </c>
      <c r="H2">
        <f t="shared" ref="H2:H15" si="0">F2</f>
        <v>16055</v>
      </c>
      <c r="I2">
        <f t="shared" ref="I2:I15" si="1">E2</f>
        <v>17814</v>
      </c>
      <c r="J2">
        <f t="shared" ref="J2:J15" si="2">D2</f>
        <v>22266</v>
      </c>
      <c r="K2">
        <f t="shared" ref="K2:K15" si="3">C2</f>
        <v>26235</v>
      </c>
      <c r="L2">
        <f t="shared" ref="L2:L15" si="4">B2</f>
        <v>35001</v>
      </c>
    </row>
    <row r="3" spans="1:13">
      <c r="A3" t="str">
        <f>INDEX('Balance Sheet'!$A$2:$F$70,MATCH("Cash &amp; Equivalents",'Balance Sheet'!$A$2:$A$70,0),1)</f>
        <v>Cash &amp; Equivalents</v>
      </c>
      <c r="B3">
        <f>INDEX('Balance Sheet'!$A$2:$F$70,MATCH("Cash &amp; Equivalents",'Balance Sheet'!$A$2:$A$70,0),2)</f>
        <v>5718</v>
      </c>
      <c r="C3">
        <f>INDEX('Balance Sheet'!$A$2:$F$70,MATCH("Cash &amp; Equivalents",'Balance Sheet'!$A$2:$A$70,0),3)</f>
        <v>5191</v>
      </c>
      <c r="D3">
        <f>INDEX('Balance Sheet'!$A$2:$F$70,MATCH("Cash &amp; Equivalents",'Balance Sheet'!$A$2:$A$70,0),4)</f>
        <v>3728</v>
      </c>
      <c r="E3">
        <f>INDEX('Balance Sheet'!$A$2:$F$70,MATCH("Cash &amp; Equivalents",'Balance Sheet'!$A$2:$A$70,0),5)</f>
        <v>3297</v>
      </c>
      <c r="F3">
        <f>INDEX('Balance Sheet'!$A$2:$F$70,MATCH("Cash &amp; Equivalents",'Balance Sheet'!$A$2:$A$70,0),6)</f>
        <v>4742</v>
      </c>
      <c r="G3" s="24"/>
      <c r="H3">
        <f t="shared" si="0"/>
        <v>4742</v>
      </c>
      <c r="I3">
        <f t="shared" si="1"/>
        <v>3297</v>
      </c>
      <c r="J3">
        <f t="shared" si="2"/>
        <v>3728</v>
      </c>
      <c r="K3">
        <f t="shared" si="3"/>
        <v>5191</v>
      </c>
      <c r="L3">
        <f t="shared" si="4"/>
        <v>5718</v>
      </c>
    </row>
    <row r="4" spans="1:13">
      <c r="A4" t="str">
        <f>INDEX('Balance Sheet'!$A$2:$F$59,MATCH("Short Term Investments",'Balance Sheet'!$A$2:$A$59,0),1)</f>
        <v>Short Term Investments</v>
      </c>
      <c r="B4">
        <f>INDEX('Balance Sheet'!$A$2:$F$70,MATCH("Short Term Investments",'Balance Sheet'!$A$2:$A$70,0),2)</f>
        <v>29283</v>
      </c>
      <c r="C4" t="e">
        <f>INDEX('Balance Sheet'!$A$59:$F$70,MATCH("Short Term Investments",'Balance Sheet'!$A$59:$A$70,0),3)</f>
        <v>#N/A</v>
      </c>
      <c r="D4" t="e">
        <f>INDEX('Balance Sheet'!$A$59:$F$70,MATCH("Short Term Investments",'Balance Sheet'!$A$59:$A$70,0),4)</f>
        <v>#N/A</v>
      </c>
      <c r="E4" t="e">
        <f>INDEX('Balance Sheet'!$A$59:$F$70,MATCH("Short Term Investments",'Balance Sheet'!$A$59:$A$70,0),5)</f>
        <v>#N/A</v>
      </c>
      <c r="F4" t="e">
        <f>INDEX('Balance Sheet'!$A$59:$F$70,MATCH("Short Term Investments",'Balance Sheet'!$A$59:$A$70,0),6)</f>
        <v>#N/A</v>
      </c>
      <c r="H4" t="e">
        <f t="shared" si="0"/>
        <v>#N/A</v>
      </c>
      <c r="I4" t="e">
        <f t="shared" si="1"/>
        <v>#N/A</v>
      </c>
      <c r="J4" t="e">
        <f t="shared" si="2"/>
        <v>#N/A</v>
      </c>
      <c r="K4" t="e">
        <f t="shared" si="3"/>
        <v>#N/A</v>
      </c>
      <c r="L4">
        <f t="shared" si="4"/>
        <v>29283</v>
      </c>
    </row>
    <row r="5" spans="1:13">
      <c r="A5" t="str">
        <f>INDEX('Balance Sheet'!$A$2:$F$70,MATCH("Total Receivables, Net",'Balance Sheet'!$A$2:$A$70,0),1)</f>
        <v>Total Receivables, Net</v>
      </c>
      <c r="B5">
        <f>INDEX('Balance Sheet'!$A$2:$F$70,MATCH("Total Receivables, Net",'Balance Sheet'!$A$2:$A$70,0),2)</f>
        <v>3177</v>
      </c>
      <c r="C5" t="e">
        <f>INDEX('Balance Sheet'!$A$59:$F$70,MATCH("Total Receivables, Net",'Balance Sheet'!$A$59:$A$70,0),3)</f>
        <v>#N/A</v>
      </c>
      <c r="D5" t="e">
        <f>INDEX('Balance Sheet'!$A$59:$F$70,MATCH("Total Receivables, Net",'Balance Sheet'!$A$59:$A$70,0),4)</f>
        <v>#N/A</v>
      </c>
      <c r="E5" t="e">
        <f>INDEX('Balance Sheet'!$A$59:$F$70,MATCH("Total Receivables, Net",'Balance Sheet'!$A$59:$A$70,0),5)</f>
        <v>#N/A</v>
      </c>
      <c r="F5" t="e">
        <f>INDEX('Balance Sheet'!$A$59:$F$70,MATCH("Total Receivables, Net",'Balance Sheet'!$A$59:$A$70,0),6)</f>
        <v>#N/A</v>
      </c>
      <c r="H5" t="e">
        <f t="shared" si="0"/>
        <v>#N/A</v>
      </c>
      <c r="I5" t="e">
        <f t="shared" si="1"/>
        <v>#N/A</v>
      </c>
      <c r="J5" t="e">
        <f t="shared" si="2"/>
        <v>#N/A</v>
      </c>
      <c r="K5" t="e">
        <f t="shared" si="3"/>
        <v>#N/A</v>
      </c>
      <c r="L5">
        <f t="shared" si="4"/>
        <v>3177</v>
      </c>
    </row>
    <row r="6" spans="1:13">
      <c r="A6" t="str">
        <f>INDEX('Balance Sheet'!$A$2:$F$70,MATCH("Total Inventory",'Balance Sheet'!$A$2:$A$70,0),1)</f>
        <v>Total Inventory</v>
      </c>
      <c r="B6">
        <f>INDEX('Balance Sheet'!$A$2:$F$70,MATCH("Total Inventory",'Balance Sheet'!$A$2:$A$70,0),2)</f>
        <v>1074</v>
      </c>
      <c r="C6" t="e">
        <f>INDEX('Balance Sheet'!$A$59:$F$70,MATCH("Total Inventory",'Balance Sheet'!$A$59:$A$70,0),3)</f>
        <v>#N/A</v>
      </c>
      <c r="D6" t="e">
        <f>INDEX('Balance Sheet'!$A$59:$F$70,MATCH("Total Inventory",'Balance Sheet'!$A$59:$A$70,0),4)</f>
        <v>#N/A</v>
      </c>
      <c r="E6" t="e">
        <f>INDEX('Balance Sheet'!$A$59:$F$70,MATCH("Total Inventory",'Balance Sheet'!$A$59:$A$70,0),5)</f>
        <v>#N/A</v>
      </c>
      <c r="F6" t="e">
        <f>INDEX('Balance Sheet'!$A$59:$F$70,MATCH("Total Inventory",'Balance Sheet'!$A$59:$A$70,0),6)</f>
        <v>#N/A</v>
      </c>
      <c r="H6" t="e">
        <f t="shared" si="0"/>
        <v>#N/A</v>
      </c>
      <c r="I6" t="e">
        <f t="shared" si="1"/>
        <v>#N/A</v>
      </c>
      <c r="J6" t="e">
        <f t="shared" si="2"/>
        <v>#N/A</v>
      </c>
      <c r="K6" t="e">
        <f t="shared" si="3"/>
        <v>#N/A</v>
      </c>
      <c r="L6">
        <f t="shared" si="4"/>
        <v>1074</v>
      </c>
    </row>
    <row r="7" spans="1:13">
      <c r="A7" t="str">
        <f>INDEX('Balance Sheet'!$A$2:$F$70,MATCH("Total current assets",'Balance Sheet'!$A$2:$A$70,0),1)</f>
        <v>Total Current Assets</v>
      </c>
      <c r="B7">
        <f>INDEX('Balance Sheet'!$A$2:$F$70,MATCH("Total current assets",'Balance Sheet'!$A$2:$A$70,0),2)</f>
        <v>44177</v>
      </c>
      <c r="C7" t="e">
        <f>INDEX('Balance Sheet'!$A$59:$F$70,MATCH("Total current assets",'Balance Sheet'!$A$59:$A$70,0),3)</f>
        <v>#N/A</v>
      </c>
      <c r="D7" t="e">
        <f>INDEX('Balance Sheet'!$A$59:$F$70,MATCH("Total current assets",'Balance Sheet'!$A$59:$A$70,0),4)</f>
        <v>#N/A</v>
      </c>
      <c r="E7" t="e">
        <f>INDEX('Balance Sheet'!$A$59:$F$70,MATCH("Total current assets",'Balance Sheet'!$A$59:$A$70,0),5)</f>
        <v>#N/A</v>
      </c>
      <c r="F7" t="e">
        <f>INDEX('Balance Sheet'!$A$59:$F$70,MATCH("Total current assets",'Balance Sheet'!$A$59:$A$70,0),6)</f>
        <v>#N/A</v>
      </c>
      <c r="G7" s="25"/>
      <c r="H7" t="e">
        <f t="shared" si="0"/>
        <v>#N/A</v>
      </c>
      <c r="I7" t="e">
        <f t="shared" si="1"/>
        <v>#N/A</v>
      </c>
      <c r="J7" t="e">
        <f t="shared" si="2"/>
        <v>#N/A</v>
      </c>
      <c r="K7" t="e">
        <f t="shared" si="3"/>
        <v>#N/A</v>
      </c>
      <c r="L7">
        <f t="shared" si="4"/>
        <v>44177</v>
      </c>
    </row>
    <row r="8" spans="1:13">
      <c r="A8" t="str">
        <f>INDEX('Balance Sheet'!$A$2:$F$70,MATCH("Total assets",'Balance Sheet'!$A$2:$A$70,0),1)</f>
        <v>Total Assets</v>
      </c>
      <c r="B8">
        <f>INDEX('Balance Sheet'!$A$2:$F$70,MATCH("Total assets",'Balance Sheet'!$A$2:$A$70,0),2)</f>
        <v>68128</v>
      </c>
      <c r="C8" t="e">
        <f>INDEX('Balance Sheet'!$A$59:$F$70,MATCH("Total assets",'Balance Sheet'!$A$59:$A$70,0),3)</f>
        <v>#N/A</v>
      </c>
      <c r="D8" t="e">
        <f>INDEX('Balance Sheet'!$A$59:$F$70,MATCH("Total assets",'Balance Sheet'!$A$59:$A$70,0),4)</f>
        <v>#N/A</v>
      </c>
      <c r="E8" t="e">
        <f>INDEX('Balance Sheet'!$A$59:$F$70,MATCH("Total assets",'Balance Sheet'!$A$59:$A$70,0),5)</f>
        <v>#N/A</v>
      </c>
      <c r="F8" t="e">
        <f>INDEX('Balance Sheet'!$A$59:$F$70,MATCH("Total assets",'Balance Sheet'!$A$59:$A$70,0),6)</f>
        <v>#N/A</v>
      </c>
      <c r="G8" s="25"/>
      <c r="H8" t="e">
        <f>F8</f>
        <v>#N/A</v>
      </c>
      <c r="I8" t="e">
        <f>E8</f>
        <v>#N/A</v>
      </c>
      <c r="J8" t="e">
        <f>D8</f>
        <v>#N/A</v>
      </c>
      <c r="K8" t="e">
        <f>C8</f>
        <v>#N/A</v>
      </c>
      <c r="L8">
        <f>B8</f>
        <v>68128</v>
      </c>
    </row>
    <row r="9" spans="1:13">
      <c r="A9" s="27" t="s">
        <v>238</v>
      </c>
      <c r="B9" s="54">
        <f>IF(ISERROR(A7),B8/B17,B7/B16)</f>
        <v>3.2352251922372757</v>
      </c>
      <c r="C9" t="s">
        <v>239</v>
      </c>
      <c r="G9" s="25"/>
    </row>
    <row r="10" spans="1:13">
      <c r="G10" s="25"/>
      <c r="H10" s="15" t="e">
        <f>H41/H8</f>
        <v>#N/A</v>
      </c>
      <c r="I10" s="15" t="e">
        <f>I41/I8</f>
        <v>#N/A</v>
      </c>
      <c r="J10" s="15" t="e">
        <f>J41/J8</f>
        <v>#N/A</v>
      </c>
      <c r="K10" s="15" t="e">
        <f>K41/K8</f>
        <v>#N/A</v>
      </c>
      <c r="L10" s="15">
        <f>L41/L8</f>
        <v>9.0036402066697982E-2</v>
      </c>
      <c r="M10" s="22" t="s">
        <v>184</v>
      </c>
    </row>
    <row r="11" spans="1:13">
      <c r="G11" s="25"/>
      <c r="M11" t="s">
        <v>185</v>
      </c>
    </row>
    <row r="12" spans="1:13">
      <c r="G12" s="25"/>
      <c r="H12" s="15">
        <f>H41/H28</f>
        <v>0.24773453007681021</v>
      </c>
      <c r="I12" s="15">
        <f>I41/I28</f>
        <v>0.23335563733690198</v>
      </c>
      <c r="J12" s="15">
        <f>J41/J28</f>
        <v>0.2329415501905972</v>
      </c>
      <c r="K12" s="15">
        <f>K41/K28</f>
        <v>0.23439000960614795</v>
      </c>
      <c r="L12" s="15">
        <f>L41/L28</f>
        <v>0.15871865862809534</v>
      </c>
      <c r="M12" s="22" t="s">
        <v>186</v>
      </c>
    </row>
    <row r="13" spans="1:13">
      <c r="A13" t="str">
        <f>INDEX('Balance Sheet'!$A$2:$F$70,MATCH("Property/Plant/Equipment, Total - Net",'Balance Sheet'!$A$2:$A$70,0),1)</f>
        <v>Property/Plant/Equipment, Total - Net</v>
      </c>
      <c r="B13">
        <f>INDEX('Balance Sheet'!$A$2:$F$70,MATCH("Property/Plant/Equipment, Total - Net",'Balance Sheet'!$A$2:$A$70,0),2)</f>
        <v>4043</v>
      </c>
      <c r="C13">
        <f>INDEX('Balance Sheet'!$A$2:$F$70,MATCH("Property/Plant/Equipment, Total - Net",'Balance Sheet'!$A$2:$A$70,0),3)</f>
        <v>4151</v>
      </c>
      <c r="D13">
        <f>INDEX('Balance Sheet'!$A$2:$F$70,MATCH("Property/Plant/Equipment, Total - Net",'Balance Sheet'!$A$2:$A$70,0),4)</f>
        <v>3893</v>
      </c>
      <c r="E13">
        <f>INDEX('Balance Sheet'!$A$2:$F$70,MATCH("Property/Plant/Equipment, Total - Net",'Balance Sheet'!$A$2:$A$70,0),5)</f>
        <v>3440</v>
      </c>
      <c r="F13">
        <f>INDEX('Balance Sheet'!$A$2:$F$70,MATCH("Property/Plant/Equipment, Total - Net",'Balance Sheet'!$A$2:$A$70,0),6)</f>
        <v>3320</v>
      </c>
      <c r="G13" s="25"/>
      <c r="H13">
        <f t="shared" si="0"/>
        <v>3320</v>
      </c>
      <c r="I13">
        <f t="shared" si="1"/>
        <v>3440</v>
      </c>
      <c r="J13">
        <f t="shared" si="2"/>
        <v>3893</v>
      </c>
      <c r="K13">
        <f t="shared" si="3"/>
        <v>4151</v>
      </c>
      <c r="L13">
        <f t="shared" si="4"/>
        <v>4043</v>
      </c>
      <c r="M13" s="18"/>
    </row>
    <row r="14" spans="1:13">
      <c r="A14" t="str">
        <f>INDEX('Balance Sheet'!$A$2:$F$70,MATCH("total assets",'Balance Sheet'!$A$2:$A$70,0),1)</f>
        <v>Total Assets</v>
      </c>
      <c r="B14">
        <f>INDEX('Balance Sheet'!$A$2:$F$70,MATCH("total assets",'Balance Sheet'!$A$2:$A$70,0),2)</f>
        <v>68128</v>
      </c>
      <c r="C14">
        <f>INDEX('Balance Sheet'!$A$2:$F$70,MATCH("total assets",'Balance Sheet'!$A$2:$A$70,0),3)</f>
        <v>58734</v>
      </c>
      <c r="D14">
        <f>INDEX('Balance Sheet'!$A$2:$F$70,MATCH("total assets",'Balance Sheet'!$A$2:$A$70,0),4)</f>
        <v>53340</v>
      </c>
      <c r="E14">
        <f>INDEX('Balance Sheet'!$A$2:$F$70,MATCH("total assets",'Balance Sheet'!$A$2:$A$70,0),5)</f>
        <v>43315</v>
      </c>
      <c r="F14">
        <f>INDEX('Balance Sheet'!$A$2:$F$70,MATCH("total assets",'Balance Sheet'!$A$2:$A$70,0),6)</f>
        <v>33883</v>
      </c>
      <c r="H14">
        <f t="shared" si="0"/>
        <v>33883</v>
      </c>
      <c r="I14">
        <f t="shared" si="1"/>
        <v>43315</v>
      </c>
      <c r="J14">
        <f t="shared" si="2"/>
        <v>53340</v>
      </c>
      <c r="K14">
        <f t="shared" si="3"/>
        <v>58734</v>
      </c>
      <c r="L14">
        <f t="shared" si="4"/>
        <v>68128</v>
      </c>
    </row>
    <row r="15" spans="1:13">
      <c r="A15" t="str">
        <f>INDEX('Balance Sheet'!$A$2:$F$70,MATCH("accounts payable",'Balance Sheet'!$A$2:$A$70,0),1)</f>
        <v>Accounts Payable</v>
      </c>
      <c r="B15">
        <f>INDEX('Balance Sheet'!$A$2:$F$70,MATCH("accounts payable",'Balance Sheet'!$A$2:$A$70,0),2)</f>
        <v>675</v>
      </c>
      <c r="C15">
        <f>INDEX('Balance Sheet'!$A$2:$F$70,MATCH("accounts payable",'Balance Sheet'!$A$2:$A$70,0),3)</f>
        <v>869</v>
      </c>
      <c r="D15">
        <f>INDEX('Balance Sheet'!$A$2:$F$70,MATCH("accounts payable",'Balance Sheet'!$A$2:$A$70,0),4)</f>
        <v>786</v>
      </c>
      <c r="E15">
        <f>INDEX('Balance Sheet'!$A$2:$F$70,MATCH("accounts payable",'Balance Sheet'!$A$2:$A$70,0),5)</f>
        <v>880</v>
      </c>
      <c r="F15">
        <f>INDEX('Balance Sheet'!$A$2:$F$70,MATCH("accounts payable",'Balance Sheet'!$A$2:$A$70,0),6)</f>
        <v>735</v>
      </c>
      <c r="G15" s="25"/>
      <c r="H15">
        <f t="shared" si="0"/>
        <v>735</v>
      </c>
      <c r="I15">
        <f t="shared" si="1"/>
        <v>880</v>
      </c>
      <c r="J15">
        <f t="shared" si="2"/>
        <v>786</v>
      </c>
      <c r="K15">
        <f t="shared" si="3"/>
        <v>869</v>
      </c>
      <c r="L15">
        <f t="shared" si="4"/>
        <v>675</v>
      </c>
    </row>
    <row r="16" spans="1:13">
      <c r="A16" t="str">
        <f>INDEX('Balance Sheet'!$A$2:$F$70,MATCH("total current liabilities",'Balance Sheet'!$A$2:$A$70,0),1)</f>
        <v>Total Current Liabilities</v>
      </c>
      <c r="B16">
        <f>INDEX('Balance Sheet'!$A$2:$F$70,MATCH("total current liabilities",'Balance Sheet'!$A$2:$A$70,0),2)</f>
        <v>13655</v>
      </c>
      <c r="C16">
        <f>INDEX('Balance Sheet'!$A$2:$F$70,MATCH("total current liabilities",'Balance Sheet'!$A$2:$A$70,0),3)</f>
        <v>13858</v>
      </c>
      <c r="D16">
        <f>INDEX('Balance Sheet'!$A$2:$F$70,MATCH("total current liabilities",'Balance Sheet'!$A$2:$A$70,0),4)</f>
        <v>13358</v>
      </c>
      <c r="E16">
        <f>INDEX('Balance Sheet'!$A$2:$F$70,MATCH("total current liabilities",'Balance Sheet'!$A$2:$A$70,0),5)</f>
        <v>11313</v>
      </c>
      <c r="F16">
        <f>INDEX('Balance Sheet'!$A$2:$F$70,MATCH("total current liabilities",'Balance Sheet'!$A$2:$A$70,0),6)</f>
        <v>9511</v>
      </c>
      <c r="H16">
        <f>F16</f>
        <v>9511</v>
      </c>
      <c r="I16">
        <f>E16</f>
        <v>11313</v>
      </c>
      <c r="J16">
        <f>D16</f>
        <v>13358</v>
      </c>
      <c r="K16">
        <f>C16</f>
        <v>13858</v>
      </c>
      <c r="L16">
        <f>B16</f>
        <v>13655</v>
      </c>
    </row>
    <row r="17" spans="1:14">
      <c r="A17" t="str">
        <f>INDEX('Balance Sheet'!$A$2:$F$70,MATCH("total liabilities",'Balance Sheet'!$A$2:$A$70,0),1)</f>
        <v>Total Liabilities</v>
      </c>
      <c r="B17">
        <f>INDEX('Balance Sheet'!$A$2:$F$70,MATCH("total liabilities",'Balance Sheet'!$A$2:$A$70,0),2)</f>
        <v>29481</v>
      </c>
      <c r="C17">
        <f>INDEX('Balance Sheet'!$A$2:$F$70,MATCH("total liabilities",'Balance Sheet'!$A$2:$A$70,0),3)</f>
        <v>24381</v>
      </c>
      <c r="D17">
        <f>INDEX('Balance Sheet'!$A$2:$F$70,MATCH("total liabilities",'Balance Sheet'!$A$2:$A$70,0),4)</f>
        <v>21860</v>
      </c>
      <c r="E17">
        <f>INDEX('Balance Sheet'!$A$2:$F$70,MATCH("total liabilities",'Balance Sheet'!$A$2:$A$70,0),5)</f>
        <v>19403</v>
      </c>
      <c r="F17">
        <f>INDEX('Balance Sheet'!$A$2:$F$70,MATCH("total liabilities",'Balance Sheet'!$A$2:$A$70,0),6)</f>
        <v>10709</v>
      </c>
    </row>
    <row r="18" spans="1:14">
      <c r="A18" t="str">
        <f>INDEX('Balance Sheet'!$A$2:$F$70,MATCH("total long term debt",'Balance Sheet'!$A$2:$A$70,0),1)</f>
        <v>Total Long Term Debt</v>
      </c>
      <c r="B18">
        <f>INDEX('Balance Sheet'!$A$2:$F$70,MATCH("total long term debt",'Balance Sheet'!$A$2:$A$70,0),2)</f>
        <v>10295</v>
      </c>
      <c r="C18">
        <f>INDEX('Balance Sheet'!$A$2:$F$70,MATCH("total long term debt",'Balance Sheet'!$A$2:$A$70,0),3)</f>
        <v>6393</v>
      </c>
      <c r="D18">
        <f>INDEX('Balance Sheet'!$A$2:$F$70,MATCH("total long term debt",'Balance Sheet'!$A$2:$A$70,0),4)</f>
        <v>6408</v>
      </c>
      <c r="E18">
        <f>INDEX('Balance Sheet'!$A$2:$F$70,MATCH("total long term debt",'Balance Sheet'!$A$2:$A$70,0),5)</f>
        <v>6332</v>
      </c>
      <c r="F18">
        <f>INDEX('Balance Sheet'!$A$2:$F$70,MATCH("total long term debt",'Balance Sheet'!$A$2:$A$70,0),6)</f>
        <v>0</v>
      </c>
      <c r="G18" s="25"/>
      <c r="H18" s="4" t="e">
        <f>H33/H6</f>
        <v>#N/A</v>
      </c>
      <c r="I18" s="4" t="e">
        <f>I33/I6</f>
        <v>#N/A</v>
      </c>
      <c r="J18" s="4" t="e">
        <f>J33/J6</f>
        <v>#N/A</v>
      </c>
      <c r="K18" s="4" t="e">
        <f>K33/K6</f>
        <v>#N/A</v>
      </c>
      <c r="L18" s="4">
        <f>L33/L6</f>
        <v>6.7256983240223462</v>
      </c>
      <c r="M18" s="14" t="s">
        <v>169</v>
      </c>
      <c r="N18" s="16"/>
    </row>
    <row r="19" spans="1:14">
      <c r="G19" s="25"/>
      <c r="H19" s="4"/>
      <c r="I19" s="4"/>
      <c r="J19" s="4"/>
      <c r="K19" s="4"/>
      <c r="L19" s="4"/>
      <c r="M19" t="s">
        <v>170</v>
      </c>
      <c r="N19" s="16"/>
    </row>
    <row r="20" spans="1:14">
      <c r="A20" s="27" t="str">
        <f>INDEX('Balance Sheet'!$A$2:$F$70,MATCH("long term debt",'Balance Sheet'!$A$2:$A$70,0),1)</f>
        <v>Long Term Debt</v>
      </c>
      <c r="B20" s="27">
        <f>INDEX('Balance Sheet'!$A$2:$F$70,MATCH("long term debt",'Balance Sheet'!$A$2:$A$70,0),2)</f>
        <v>10295</v>
      </c>
      <c r="C20" s="27">
        <f>INDEX('Balance Sheet'!$A$2:$F$70,MATCH("long term debt",'Balance Sheet'!$A$2:$A$70,0),3)</f>
        <v>6393</v>
      </c>
      <c r="D20" s="27">
        <f>INDEX('Balance Sheet'!$A$2:$F$70,MATCH("long term debt",'Balance Sheet'!$A$2:$A$70,0),4)</f>
        <v>6408</v>
      </c>
      <c r="E20" s="27">
        <f>INDEX('Balance Sheet'!$A$2:$F$70,MATCH("long term debt",'Balance Sheet'!$A$2:$A$70,0),5)</f>
        <v>6332</v>
      </c>
      <c r="F20" s="27">
        <f>INDEX('Balance Sheet'!$A$2:$F$70,MATCH("long term debt",'Balance Sheet'!$A$2:$A$70,0),6)</f>
        <v>0</v>
      </c>
      <c r="H20">
        <f>F20</f>
        <v>0</v>
      </c>
      <c r="I20">
        <f>E20</f>
        <v>6332</v>
      </c>
      <c r="J20">
        <f>D20</f>
        <v>6408</v>
      </c>
      <c r="K20">
        <f>C20</f>
        <v>6393</v>
      </c>
      <c r="L20" s="27">
        <f>B20</f>
        <v>10295</v>
      </c>
      <c r="N20" s="16"/>
    </row>
    <row r="21" spans="1:14">
      <c r="A21" t="str">
        <f t="shared" ref="A21:F21" si="5">IF(ISERROR($A20),A18,A20)</f>
        <v>Long Term Debt</v>
      </c>
      <c r="B21">
        <f t="shared" si="5"/>
        <v>10295</v>
      </c>
      <c r="C21">
        <f t="shared" si="5"/>
        <v>6393</v>
      </c>
      <c r="D21">
        <f t="shared" si="5"/>
        <v>6408</v>
      </c>
      <c r="E21">
        <f t="shared" si="5"/>
        <v>6332</v>
      </c>
      <c r="F21">
        <f t="shared" si="5"/>
        <v>0</v>
      </c>
      <c r="G21" s="25"/>
      <c r="H21" s="4"/>
      <c r="I21" s="4"/>
      <c r="J21" s="4"/>
      <c r="K21" s="4"/>
      <c r="L21" s="4"/>
      <c r="N21" s="16"/>
    </row>
    <row r="22" spans="1:14">
      <c r="A22" s="5" t="s">
        <v>236</v>
      </c>
      <c r="B22" s="5"/>
      <c r="C22" s="5"/>
      <c r="D22" s="5"/>
      <c r="E22" s="5"/>
      <c r="G22" s="25"/>
      <c r="H22" s="26">
        <f>H52/H32</f>
        <v>3.1127777105761863E-2</v>
      </c>
      <c r="I22" s="26">
        <f>I52/I32</f>
        <v>4.3919393343631513E-2</v>
      </c>
      <c r="J22" s="26">
        <f>J52/J32</f>
        <v>3.630948971994731E-2</v>
      </c>
      <c r="K22" s="26">
        <f>K52/K32</f>
        <v>2.5417298937784522E-2</v>
      </c>
      <c r="L22" s="26">
        <f>L52/L32</f>
        <v>0</v>
      </c>
      <c r="M22" s="22" t="s">
        <v>188</v>
      </c>
      <c r="N22" s="16"/>
    </row>
    <row r="23" spans="1:14">
      <c r="G23" s="25"/>
      <c r="H23" s="4"/>
      <c r="I23" s="4"/>
      <c r="J23" s="4"/>
      <c r="K23" s="4"/>
      <c r="L23" s="4"/>
      <c r="M23" s="16"/>
      <c r="N23" s="16"/>
    </row>
    <row r="24" spans="1:14">
      <c r="N24" s="18"/>
    </row>
    <row r="25" spans="1:14">
      <c r="A25" t="str">
        <f>INDEX('Balance Sheet'!$A$2:$F$70,MATCH("Total Common Shares Outstanding",'Balance Sheet'!$A$2:$A$70,0),1)</f>
        <v>Total Common Shares Outstanding</v>
      </c>
      <c r="B25">
        <f>INDEX('Balance Sheet'!$A$2:$F$70,MATCH("Total Common Shares Outstanding",'Balance Sheet'!$A$2:$A$70,0),2)</f>
        <v>5785</v>
      </c>
      <c r="C25">
        <f>INDEX('Balance Sheet'!$A$2:$F$70,MATCH("Total Common Shares Outstanding",'Balance Sheet'!$A$2:$A$70,0),3)</f>
        <v>5893</v>
      </c>
      <c r="D25">
        <f>INDEX('Balance Sheet'!$A$2:$F$70,MATCH("Total Common Shares Outstanding",'Balance Sheet'!$A$2:$A$70,0),4)</f>
        <v>6100</v>
      </c>
      <c r="E25">
        <f>INDEX('Balance Sheet'!$A$2:$F$70,MATCH("Total Common Shares Outstanding",'Balance Sheet'!$A$2:$A$70,0),5)</f>
        <v>6059</v>
      </c>
      <c r="F25">
        <f>INDEX('Balance Sheet'!$A$2:$F$70,MATCH("Total Common Shares Outstanding",'Balance Sheet'!$A$2:$A$70,0),6)</f>
        <v>6331</v>
      </c>
      <c r="G25" s="25"/>
      <c r="H25" s="4"/>
      <c r="N25" s="18"/>
    </row>
    <row r="26" spans="1:14">
      <c r="A26" t="str">
        <f>INDEX('Balance Sheet'!$A$2:$F$70,MATCH("Common Stock",'Balance Sheet'!$A$2:$A$70,0),1)</f>
        <v>Common Stock</v>
      </c>
      <c r="B26">
        <f>INDEX('Balance Sheet'!$A$2:$F$70,MATCH("Common Stock",'Balance Sheet'!$A$2:$A$70,0),2)</f>
        <v>34344</v>
      </c>
      <c r="C26">
        <f>INDEX('Balance Sheet'!$A$2:$F$70,MATCH("Common Stock",'Balance Sheet'!$A$2:$A$70,0),3)</f>
        <v>33505</v>
      </c>
      <c r="G26" s="25"/>
      <c r="H26" s="4" t="e">
        <f>H7/H16</f>
        <v>#N/A</v>
      </c>
      <c r="I26" s="4" t="e">
        <f>I7/I16</f>
        <v>#N/A</v>
      </c>
      <c r="J26" s="4" t="e">
        <f>J7/J16</f>
        <v>#N/A</v>
      </c>
      <c r="K26" s="4" t="e">
        <f>K7/K16</f>
        <v>#N/A</v>
      </c>
      <c r="L26" s="4">
        <f>L7/L16</f>
        <v>3.2352251922372757</v>
      </c>
      <c r="M26" s="14" t="s">
        <v>182</v>
      </c>
      <c r="N26" s="18"/>
    </row>
    <row r="27" spans="1:14">
      <c r="A27" s="89" t="s">
        <v>187</v>
      </c>
      <c r="B27" s="5">
        <f>IF(COUNT(B25)=1,B25,IF(COUNT(B26)=1,B26,"blank"))</f>
        <v>5785</v>
      </c>
      <c r="C27" s="5">
        <f>IF(COUNT(C25)=1,C25,IF(COUNT(C26)=1,C26,"blank"))</f>
        <v>5893</v>
      </c>
      <c r="G27" s="25"/>
      <c r="H27" s="4"/>
      <c r="M27" t="s">
        <v>183</v>
      </c>
      <c r="N27" s="18"/>
    </row>
    <row r="28" spans="1:14">
      <c r="A28" s="27" t="str">
        <f>INDEX('Balance Sheet'!$A$2:$F$70,MATCH("total equity",'Balance Sheet'!$A$2:$A$70,0),1)</f>
        <v>Total Equity</v>
      </c>
      <c r="B28" s="27">
        <f>INDEX('Balance Sheet'!$A$2:$F$70,MATCH("total equity",'Balance Sheet'!$A$2:$A$70,0),2)</f>
        <v>38647</v>
      </c>
      <c r="C28" s="27">
        <f>INDEX('Balance Sheet'!$A$2:$F$70,MATCH("total equity",'Balance Sheet'!$A$2:$A$70,0),3)</f>
        <v>34353</v>
      </c>
      <c r="D28" s="27">
        <f>INDEX('Balance Sheet'!$A$2:$F$70,MATCH("total equity",'Balance Sheet'!$A$2:$A$70,0),4)</f>
        <v>31480</v>
      </c>
      <c r="E28" s="27">
        <f>INDEX('Balance Sheet'!$A$2:$F$70,MATCH("total equity",'Balance Sheet'!$A$2:$A$70,0),5)</f>
        <v>23912</v>
      </c>
      <c r="F28" s="27">
        <f>INDEX('Balance Sheet'!$A$2:$F$70,MATCH("total equity",'Balance Sheet'!$A$2:$A$70,0),6)</f>
        <v>23174</v>
      </c>
      <c r="H28">
        <f>F28</f>
        <v>23174</v>
      </c>
      <c r="I28">
        <f>E28</f>
        <v>23912</v>
      </c>
      <c r="J28">
        <f>D28</f>
        <v>31480</v>
      </c>
      <c r="K28">
        <f>C28</f>
        <v>34353</v>
      </c>
      <c r="L28">
        <f>B28</f>
        <v>38647</v>
      </c>
      <c r="N28" s="18"/>
    </row>
    <row r="29" spans="1:14">
      <c r="G29" s="25"/>
      <c r="H29" s="4" t="e">
        <f>(H7-H6)/H16</f>
        <v>#N/A</v>
      </c>
      <c r="I29" s="4" t="e">
        <f>(I7-I6)/I16</f>
        <v>#N/A</v>
      </c>
      <c r="J29" s="4" t="e">
        <f>(J7-J6)/J16</f>
        <v>#N/A</v>
      </c>
      <c r="K29" s="4" t="e">
        <f>(K7-K6)/K16</f>
        <v>#N/A</v>
      </c>
      <c r="L29" s="4">
        <f>(L7-L6)/L16</f>
        <v>3.1565726839985353</v>
      </c>
      <c r="M29" s="14" t="s">
        <v>180</v>
      </c>
      <c r="N29" s="18"/>
    </row>
    <row r="30" spans="1:14">
      <c r="G30" s="25"/>
      <c r="M30" t="s">
        <v>181</v>
      </c>
      <c r="N30" s="18"/>
    </row>
    <row r="31" spans="1:14">
      <c r="G31" s="25"/>
      <c r="H31" s="15">
        <f>H41/(H28+H20)</f>
        <v>0.24773453007681021</v>
      </c>
      <c r="I31" s="15">
        <f>I41/(I28+I20)</f>
        <v>0.18449940484062954</v>
      </c>
      <c r="J31" s="15">
        <f>J41/(J28+J20)</f>
        <v>0.19354413006756757</v>
      </c>
      <c r="K31" s="15">
        <f>K41/(K28+K20)</f>
        <v>0.1976144897658666</v>
      </c>
      <c r="L31" s="15">
        <f>L41/(L28+L20)</f>
        <v>0.1253320256630297</v>
      </c>
      <c r="M31" s="22" t="s">
        <v>192</v>
      </c>
      <c r="N31" s="18"/>
    </row>
    <row r="32" spans="1:14" ht="15">
      <c r="A32" s="7" t="s">
        <v>171</v>
      </c>
      <c r="B32" s="6"/>
      <c r="C32" s="6"/>
      <c r="D32" s="6"/>
      <c r="E32" s="6"/>
      <c r="F32" s="6"/>
      <c r="G32" s="25"/>
      <c r="H32" s="19">
        <f>F33</f>
        <v>24801</v>
      </c>
      <c r="I32" s="20">
        <f>E33</f>
        <v>28484</v>
      </c>
      <c r="J32" s="20">
        <f>D33</f>
        <v>34922</v>
      </c>
      <c r="K32" s="20">
        <f>C33</f>
        <v>39540</v>
      </c>
      <c r="L32" s="19">
        <f>B33</f>
        <v>36117</v>
      </c>
      <c r="M32" s="21" t="s">
        <v>176</v>
      </c>
      <c r="N32" s="18"/>
    </row>
    <row r="33" spans="1:14">
      <c r="A33" t="str">
        <f>INDEX(Income!$A$2:$K$78,MATCH("total revenue",Income!$A2:$A$479,0),1)</f>
        <v>Total Revenue</v>
      </c>
      <c r="B33">
        <f>INDEX(Income!$A$2:$K$78,MATCH("total revenue",Income!$A2:$A$479,0),2)</f>
        <v>36117</v>
      </c>
      <c r="C33">
        <f>INDEX(Income!$A$2:$K$78,MATCH("total revenue",Income!$A2:$A$479,0),3)</f>
        <v>39540</v>
      </c>
      <c r="D33">
        <f>INDEX(Income!$A$2:$K$78,MATCH("total revenue",Income!$A2:$A$479,0),4)</f>
        <v>34922</v>
      </c>
      <c r="E33">
        <f>INDEX(Income!$A$2:$K$78,MATCH("total revenue",Income!$A2:$A$479,0),5)</f>
        <v>28484</v>
      </c>
      <c r="F33">
        <f>INDEX(Income!$A$2:$K$78,MATCH("total revenue",Income!$A2:$A$479,0),6)</f>
        <v>24801</v>
      </c>
      <c r="G33" s="25"/>
      <c r="H33">
        <f>F33/5</f>
        <v>4960.2</v>
      </c>
      <c r="I33">
        <f>E33/5</f>
        <v>5696.8</v>
      </c>
      <c r="J33">
        <f>D33/5</f>
        <v>6984.4</v>
      </c>
      <c r="K33">
        <f>C33/5</f>
        <v>7908</v>
      </c>
      <c r="L33">
        <f>B33/5</f>
        <v>7223.4</v>
      </c>
      <c r="M33" s="14" t="s">
        <v>168</v>
      </c>
      <c r="N33" s="18"/>
    </row>
    <row r="34" spans="1:14">
      <c r="A34" t="str">
        <f>INDEX(Income!$A$2:$K$78,MATCH("Cost of Revenue, Total",Income!$A2:$A79,0),1)</f>
        <v>Cost of Revenue, Total</v>
      </c>
      <c r="B34">
        <f>INDEX(Income!$A$2:$K$78,MATCH("Cost of Revenue, Total",Income!$A2:$A79,0),2)</f>
        <v>13023</v>
      </c>
      <c r="C34">
        <f>INDEX(Income!$A$2:$K$78,MATCH("Cost of Revenue, Total",Income!$A2:$A79,0),3)</f>
        <v>14194</v>
      </c>
      <c r="D34">
        <f>INDEX(Income!$A$2:$K$78,MATCH("Cost of Revenue, Total",Income!$A2:$A79,0),4)</f>
        <v>12663</v>
      </c>
      <c r="E34">
        <f>INDEX(Income!$A$2:$K$78,MATCH("Cost of Revenue, Total",Income!$A2:$A79,0),5)</f>
        <v>9737</v>
      </c>
      <c r="F34">
        <f>INDEX(Income!$A$2:$K$78,MATCH("Cost of Revenue, Total",Income!$A2:$A79,0),6)</f>
        <v>8130</v>
      </c>
      <c r="G34" s="25"/>
      <c r="H34">
        <f>F34</f>
        <v>8130</v>
      </c>
      <c r="I34">
        <f>E34</f>
        <v>9737</v>
      </c>
      <c r="J34">
        <f>D34</f>
        <v>12663</v>
      </c>
      <c r="K34">
        <f>C34</f>
        <v>14194</v>
      </c>
      <c r="L34">
        <f>B34</f>
        <v>13023</v>
      </c>
      <c r="N34" s="18"/>
    </row>
    <row r="35" spans="1:14">
      <c r="A35" t="str">
        <f>INDEX(Income!$A$2:$K$78,MATCH("Selling/General/Administrative Expenses, Total",Income!$A2:$A79,0),1)</f>
        <v>Selling/General/Administrative Expenses, Total</v>
      </c>
      <c r="B35">
        <f>INDEX(Income!$A$2:$K$78,MATCH("Selling/General/Administrative Expenses, Total",Income!$A2:$A79,0),2)</f>
        <v>9968</v>
      </c>
      <c r="C35">
        <f>INDEX(Income!$A$2:$K$78,MATCH("Selling/General/Administrative Expenses, Total",Income!$A2:$A79,0),3)</f>
        <v>10077</v>
      </c>
      <c r="D35">
        <f>INDEX(Income!$A$2:$K$78,MATCH("Selling/General/Administrative Expenses, Total",Income!$A2:$A79,0),4)</f>
        <v>8552</v>
      </c>
      <c r="E35">
        <f>INDEX(Income!$A$2:$K$78,MATCH("Selling/General/Administrative Expenses, Total",Income!$A2:$A79,0),5)</f>
        <v>7200</v>
      </c>
      <c r="F35">
        <f>INDEX(Income!$A$2:$K$78,MATCH("Selling/General/Administrative Expenses, Total",Income!$A2:$A79,0),6)</f>
        <v>5680</v>
      </c>
      <c r="H35">
        <f>F35</f>
        <v>5680</v>
      </c>
      <c r="I35">
        <f>E35</f>
        <v>7200</v>
      </c>
      <c r="J35">
        <f>D35</f>
        <v>8552</v>
      </c>
      <c r="K35">
        <f>C35</f>
        <v>10077</v>
      </c>
      <c r="L35">
        <f>B35</f>
        <v>9968</v>
      </c>
      <c r="N35" s="18"/>
    </row>
    <row r="36" spans="1:14">
      <c r="A36" t="e">
        <f>INDEX(Income!$A$2:$K$78,MATCH("research &amp; development",A42:A478,0),1)</f>
        <v>#N/A</v>
      </c>
      <c r="B36" t="e">
        <f>INDEX(Income!$A$2:$K$78,MATCH("research &amp; development",B42:B478,0),2)</f>
        <v>#N/A</v>
      </c>
      <c r="C36" t="e">
        <f>INDEX(Income!$A$2:$K$78,MATCH("research &amp; development",C42:C478,0),3)</f>
        <v>#N/A</v>
      </c>
      <c r="D36" t="e">
        <f>INDEX(Income!$A$2:$K$78,MATCH("research &amp; development",D42:D478,0),4)</f>
        <v>#N/A</v>
      </c>
      <c r="E36" t="e">
        <f>INDEX(Income!$A$2:$K$78,MATCH("research &amp; development",E42:E478,0),5)</f>
        <v>#N/A</v>
      </c>
      <c r="F36" t="e">
        <f>INDEX(Income!$A$2:$K$78,MATCH("research &amp; development",F42:F478,0),6)</f>
        <v>#N/A</v>
      </c>
      <c r="G36" s="25"/>
      <c r="H36" s="4"/>
      <c r="I36" s="4"/>
      <c r="J36" s="4"/>
      <c r="K36" s="4"/>
      <c r="N36" s="18"/>
    </row>
    <row r="37" spans="1:14">
      <c r="A37" t="str">
        <f>INDEX(Income!$A$2:$K$78,MATCH("Depreciation/Amortization",Income!$A2:$A79,0),1)</f>
        <v>Depreciation/Amortization</v>
      </c>
      <c r="B37">
        <f>INDEX(Income!$A$2:$K$78,MATCH("Depreciation/Amortization",Income!$A2:$A79,0),2)</f>
        <v>533</v>
      </c>
      <c r="C37">
        <f>INDEX(Income!$A$2:$K$78,MATCH("Depreciation/Amortization",Income!$A2:$A79,0),3)</f>
        <v>499</v>
      </c>
      <c r="D37">
        <f>INDEX(Income!$A$2:$K$78,MATCH("Depreciation/Amortization",Income!$A2:$A79,0),4)</f>
        <v>407</v>
      </c>
      <c r="E37">
        <f>INDEX(Income!$A$2:$K$78,MATCH("Depreciation/Amortization",Income!$A2:$A79,0),5)</f>
        <v>393</v>
      </c>
      <c r="F37">
        <f>INDEX(Income!$A$2:$K$78,MATCH("Depreciation/Amortization",Income!$A2:$A79,0),6)</f>
        <v>227</v>
      </c>
      <c r="N37" s="18"/>
    </row>
    <row r="38" spans="1:14">
      <c r="H38" s="15">
        <f>(H32-H34)/H32</f>
        <v>0.67219063747429542</v>
      </c>
      <c r="I38" s="15">
        <f>(I32-I34)/I32</f>
        <v>0.6581589664372981</v>
      </c>
      <c r="J38" s="15">
        <f>(J32-J34)/J32</f>
        <v>0.63739190195292361</v>
      </c>
      <c r="K38" s="15">
        <f>(K32-K34)/K32</f>
        <v>0.64102175012645424</v>
      </c>
      <c r="L38" s="15">
        <f>(L32-L34)/L32</f>
        <v>0.63942187889359581</v>
      </c>
      <c r="M38" s="14" t="s">
        <v>173</v>
      </c>
      <c r="N38" s="17"/>
    </row>
    <row r="39" spans="1:14">
      <c r="A39" t="str">
        <f>INDEX(Income!$A$2:$K$78,MATCH("operating income",Income!$A2:$A79,0),1)</f>
        <v>Operating Income</v>
      </c>
      <c r="B39">
        <f>INDEX(Income!$A$2:$K$78,MATCH("operating income",Income!$A2:$A79,0),2)</f>
        <v>7322</v>
      </c>
      <c r="C39">
        <f>INDEX(Income!$A$2:$K$78,MATCH("operating income",Income!$A2:$A79,0),3)</f>
        <v>9442</v>
      </c>
      <c r="D39">
        <f>INDEX(Income!$A$2:$K$78,MATCH("operating income",Income!$A2:$A79,0),4)</f>
        <v>8621</v>
      </c>
      <c r="E39">
        <f>INDEX(Income!$A$2:$K$78,MATCH("operating income",Income!$A2:$A79,0),5)</f>
        <v>6996</v>
      </c>
      <c r="F39">
        <f>INDEX(Income!$A$2:$K$78,MATCH("operating income",Income!$A2:$A79,0),6)</f>
        <v>7416</v>
      </c>
      <c r="H39">
        <f>F39</f>
        <v>7416</v>
      </c>
      <c r="I39">
        <f>E39</f>
        <v>6996</v>
      </c>
      <c r="J39">
        <f>D39</f>
        <v>8621</v>
      </c>
      <c r="K39">
        <f>C39</f>
        <v>9442</v>
      </c>
      <c r="L39">
        <f>B39</f>
        <v>7322</v>
      </c>
      <c r="M39" t="s">
        <v>178</v>
      </c>
    </row>
    <row r="40" spans="1:14">
      <c r="A40" t="str">
        <f>INDEX(Income!$A$2:$K$78,MATCH("income before tax",Income!$A2:$A79,0),1)</f>
        <v>Income Before Tax</v>
      </c>
      <c r="B40">
        <f>INDEX(Income!$A$2:$K$78,MATCH("income before tax",Income!$A2:$A79,0),2)</f>
        <v>7693</v>
      </c>
      <c r="C40">
        <f>INDEX(Income!$A$2:$K$78,MATCH("income before tax",Income!$A2:$A79,0),3)</f>
        <v>10255</v>
      </c>
      <c r="D40">
        <f>INDEX(Income!$A$2:$K$78,MATCH("income before tax",Income!$A2:$A79,0),4)</f>
        <v>9461</v>
      </c>
      <c r="E40">
        <f>INDEX(Income!$A$2:$K$78,MATCH("income before tax",Income!$A2:$A79,0),5)</f>
        <v>7633</v>
      </c>
      <c r="F40">
        <f>INDEX(Income!$A$2:$K$78,MATCH("income before tax",Income!$A2:$A79,0),6)</f>
        <v>8036</v>
      </c>
      <c r="H40" s="15">
        <f>H39/H32</f>
        <v>0.2990202007983549</v>
      </c>
      <c r="I40" s="15">
        <f>I39/I32</f>
        <v>0.24561157140851003</v>
      </c>
      <c r="J40" s="15">
        <f>J39/J32</f>
        <v>0.24686444075367964</v>
      </c>
      <c r="K40" s="15">
        <f>K39/K32</f>
        <v>0.23879615579160343</v>
      </c>
      <c r="L40" s="15">
        <f>L39/L32</f>
        <v>0.20273001633579754</v>
      </c>
      <c r="M40" s="14" t="s">
        <v>189</v>
      </c>
    </row>
    <row r="41" spans="1:14">
      <c r="A41" s="27" t="str">
        <f>INDEX(Income!$A$2:$K$78,MATCH("net income",Income!$A2:$A79,0),1)</f>
        <v>Net Income</v>
      </c>
      <c r="B41" s="27">
        <f>INDEX(Income!$A$2:$K$78,MATCH("net income",Income!$A2:$A79,0),2)</f>
        <v>6134</v>
      </c>
      <c r="C41" s="27">
        <f>INDEX(Income!$A$2:$K$78,MATCH("net income",Income!$A2:$A79,0),3)</f>
        <v>8052</v>
      </c>
      <c r="D41" s="27">
        <f>INDEX(Income!$A$2:$K$78,MATCH("net income",Income!$A2:$A79,0),4)</f>
        <v>7333</v>
      </c>
      <c r="E41" s="27">
        <f>INDEX(Income!$A$2:$K$78,MATCH("net income",Income!$A2:$A79,0),5)</f>
        <v>5580</v>
      </c>
      <c r="F41" s="27">
        <f>INDEX(Income!$A$2:$K$78,MATCH("net income",Income!$A2:$A79,0),6)</f>
        <v>5741</v>
      </c>
      <c r="H41">
        <f>F41</f>
        <v>5741</v>
      </c>
      <c r="I41">
        <f>E41</f>
        <v>5580</v>
      </c>
      <c r="J41">
        <f>D41</f>
        <v>7333</v>
      </c>
      <c r="K41">
        <f>C41</f>
        <v>8052</v>
      </c>
      <c r="L41">
        <f>B41</f>
        <v>6134</v>
      </c>
      <c r="M41" t="s">
        <v>190</v>
      </c>
    </row>
    <row r="42" spans="1:14">
      <c r="H42" s="15">
        <f>H41/H32</f>
        <v>0.2314826015080037</v>
      </c>
      <c r="I42" s="15">
        <f>I41/I32</f>
        <v>0.19589945232411179</v>
      </c>
      <c r="J42" s="15">
        <f>J41/J32</f>
        <v>0.20998224614855965</v>
      </c>
      <c r="K42" s="15">
        <f>K41/K32</f>
        <v>0.20364188163884675</v>
      </c>
      <c r="L42" s="15">
        <f>L41/L32</f>
        <v>0.16983691890245592</v>
      </c>
      <c r="M42" s="14" t="s">
        <v>138</v>
      </c>
    </row>
    <row r="43" spans="1:14">
      <c r="A43" t="str">
        <f>INDEX(Income!$A$2:$K$78,MATCH("basic weighted average shares",Income!$A2:$A79,0),1)</f>
        <v>Basic Weighted Average Shares</v>
      </c>
      <c r="B43">
        <f>INDEX(Income!$A$2:$K$78,MATCH("basic weighted average shares",Income!$A2:$A79,0),2)</f>
        <v>5828</v>
      </c>
      <c r="C43">
        <f>INDEX(Income!$A$2:$K$78,MATCH("basic weighted average shares",Income!$A2:$A79,0),3)</f>
        <v>5986</v>
      </c>
      <c r="D43">
        <f>INDEX(Income!$A$2:$K$78,MATCH("basic weighted average shares",Income!$A2:$A79,0),4)</f>
        <v>6055</v>
      </c>
      <c r="E43">
        <f>INDEX(Income!$A$2:$K$78,MATCH("basic weighted average shares",Income!$A2:$A79,0),5)</f>
        <v>6158</v>
      </c>
      <c r="F43">
        <f>INDEX(Income!$A$2:$K$78,MATCH("basic weighted average shares",Income!$A2:$A79,0),6)</f>
        <v>6487</v>
      </c>
      <c r="M43" t="s">
        <v>191</v>
      </c>
    </row>
    <row r="44" spans="1:14">
      <c r="A44" t="str">
        <f>INDEX(Income!$A$2:$K$78,MATCH("Diluted Weighted Average Shares",Income!$A2:$A79,0),1)</f>
        <v>Diluted Weighted Average Shares</v>
      </c>
      <c r="B44">
        <f>INDEX(Income!$A$2:$K$78,MATCH("Diluted Weighted Average Shares",Income!$A2:$A79,0),2)</f>
        <v>5857</v>
      </c>
      <c r="C44">
        <f>INDEX(Income!$A$2:$K$78,MATCH("Diluted Weighted Average Shares",Income!$A2:$A79,0),3)</f>
        <v>6163</v>
      </c>
      <c r="D44">
        <f>INDEX(Income!$A$2:$K$78,MATCH("Diluted Weighted Average Shares",Income!$A2:$A79,0),4)</f>
        <v>6265</v>
      </c>
      <c r="E44">
        <f>INDEX(Income!$A$2:$K$78,MATCH("Diluted Weighted Average Shares",Income!$A2:$A79,0),5)</f>
        <v>6272</v>
      </c>
      <c r="F44">
        <f>INDEX(Income!$A$2:$K$78,MATCH("Diluted Weighted Average Shares",Income!$A2:$A79,0),6)</f>
        <v>6612</v>
      </c>
    </row>
    <row r="45" spans="1:14">
      <c r="A45" t="str">
        <f>INDEX(Income!$A$2:$K$78,MATCH("Gross Dividends - Common Stock",Income!$A2:$A79,0),1)</f>
        <v>Gross Dividends - Common Stock</v>
      </c>
      <c r="B45">
        <f>INDEX(Income!$A$2:$K$78,MATCH("Gross Dividends - Common Stock",Income!$A2:$A79,0),2)</f>
        <v>0</v>
      </c>
      <c r="C45">
        <f>INDEX(Income!$A$2:$K$78,MATCH("Gross Dividends - Common Stock",Income!$A2:$A79,0),3)</f>
        <v>0</v>
      </c>
      <c r="D45">
        <f>INDEX(Income!$A$2:$K$78,MATCH("Gross Dividends - Common Stock",Income!$A2:$A79,0),4)</f>
        <v>0</v>
      </c>
      <c r="E45">
        <f>INDEX(Income!$A$2:$K$78,MATCH("Gross Dividends - Common Stock",Income!$A2:$A79,0),5)</f>
        <v>0</v>
      </c>
      <c r="F45">
        <f>INDEX(Income!$A$2:$K$78,MATCH("Gross Dividends - Common Stock",Income!$A2:$A79,0),6)</f>
        <v>0</v>
      </c>
      <c r="H45">
        <f>F45</f>
        <v>0</v>
      </c>
      <c r="I45">
        <f>E45</f>
        <v>0</v>
      </c>
      <c r="J45">
        <f>D45</f>
        <v>0</v>
      </c>
      <c r="K45">
        <f>C45</f>
        <v>0</v>
      </c>
      <c r="L45">
        <f>B45</f>
        <v>0</v>
      </c>
    </row>
    <row r="46" spans="1:14">
      <c r="A46" t="str">
        <f>INDEX(Income!$A$2:$K$78,MATCH("Interest Expense, Supplemental",Income!$A2:$A79,0),1)</f>
        <v>Interest Expense, Supplemental</v>
      </c>
      <c r="B46">
        <f>INDEX(Income!$A$2:$K$78,MATCH("Interest Expense, Supplemental",Income!$A2:$A79,0),2)</f>
        <v>346</v>
      </c>
      <c r="C46">
        <f>INDEX(Income!$A$2:$K$78,MATCH("Interest Expense, Supplemental",Income!$A2:$A79,0),3)</f>
        <v>319</v>
      </c>
      <c r="D46">
        <f>INDEX(Income!$A$2:$K$78,MATCH("Interest Expense, Supplemental",Income!$A2:$A79,0),4)</f>
        <v>377</v>
      </c>
      <c r="E46">
        <f>INDEX(Income!$A$2:$K$78,MATCH("Interest Expense, Supplemental",Income!$A2:$A79,0),5)</f>
        <v>148</v>
      </c>
      <c r="F46">
        <f>INDEX(Income!$A$2:$K$78,MATCH("Interest Expense, Supplemental",Income!$A2:$A79,0),6)</f>
        <v>0</v>
      </c>
    </row>
    <row r="47" spans="1:14">
      <c r="A47" t="str">
        <f>INDEX(Income!$A$2:$K$78,MATCH("Basic Normalized EPS",Income!$A2:$A79,0),1)</f>
        <v>Basic Normalized EPS</v>
      </c>
      <c r="B47">
        <f>INDEX(Income!$A$2:$K$78,MATCH("Basic Normalized EPS",Income!$A2:$A79,0),2)</f>
        <v>1.06</v>
      </c>
      <c r="C47">
        <f>INDEX(Income!$A$2:$K$78,MATCH("Basic Normalized EPS",Income!$A2:$A79,0),3)</f>
        <v>1.35</v>
      </c>
      <c r="D47">
        <f>INDEX(Income!$A$2:$K$78,MATCH("Basic Normalized EPS",Income!$A2:$A79,0),4)</f>
        <v>1.22</v>
      </c>
      <c r="E47">
        <f>INDEX(Income!$A$2:$K$78,MATCH("Basic Normalized EPS",Income!$A2:$A79,0),5)</f>
        <v>0.92</v>
      </c>
      <c r="F47">
        <f>INDEX(Income!$A$2:$K$78,MATCH("Basic Normalized EPS",Income!$A2:$A79,0),6)</f>
        <v>0.89</v>
      </c>
      <c r="H47">
        <f>F47</f>
        <v>0.89</v>
      </c>
      <c r="I47">
        <f>E47</f>
        <v>0.92</v>
      </c>
      <c r="J47">
        <f>D47</f>
        <v>1.22</v>
      </c>
      <c r="K47">
        <f>C47</f>
        <v>1.35</v>
      </c>
      <c r="L47">
        <f>B47</f>
        <v>1.06</v>
      </c>
    </row>
    <row r="48" spans="1:14">
      <c r="A48" t="str">
        <f>INDEX(Income!$A$2:$K$78,MATCH("Normalized Income Before Tax",Income!$A2:$A79,0),1)</f>
        <v>Normalized Income Before Tax</v>
      </c>
      <c r="B48">
        <f>INDEX(Income!$A$2:$K$78,MATCH("Normalized Income Before Tax",Income!$A2:$A79,0),2)</f>
        <v>7756</v>
      </c>
      <c r="C48">
        <f>INDEX(Income!$A$2:$K$78,MATCH("Normalized Income Before Tax",Income!$A2:$A79,0),3)</f>
        <v>10258</v>
      </c>
      <c r="D48">
        <f>INDEX(Income!$A$2:$K$78,MATCH("Normalized Income Before Tax",Income!$A2:$A79,0),4)</f>
        <v>9542</v>
      </c>
      <c r="E48">
        <f>INDEX(Income!$A$2:$K$78,MATCH("Normalized Income Before Tax",Income!$A2:$A79,0),5)</f>
        <v>7724</v>
      </c>
      <c r="F48">
        <f>INDEX(Income!$A$2:$K$78,MATCH("Normalized Income Before Tax",Income!$A2:$A79,0),6)</f>
        <v>8062</v>
      </c>
    </row>
    <row r="50" spans="1:13" ht="15">
      <c r="A50" s="7" t="s">
        <v>109</v>
      </c>
      <c r="B50" s="6"/>
      <c r="C50" s="6"/>
      <c r="D50" s="6"/>
      <c r="E50" s="6"/>
      <c r="F50" s="6"/>
    </row>
    <row r="51" spans="1:13">
      <c r="A51" t="str">
        <f>INDEX(Cashflow!$A$22:$W$61,MATCH("Cash from Operating Activities",Cashflow!$A$22:$A$61,0),1)</f>
        <v>Cash from Operating Activities</v>
      </c>
      <c r="B51">
        <f>INDEX(Cashflow!$A$22:$W$61,MATCH("Cash from Operating Activities",Cashflow!$A$22:$A$61,0),2)</f>
        <v>0</v>
      </c>
      <c r="C51">
        <f>INDEX(Cashflow!$A$22:$W$61,MATCH("Cash from Operating Activities",Cashflow!$A$22:$A$61,0),3)</f>
        <v>9897</v>
      </c>
      <c r="D51">
        <f>INDEX(Cashflow!$A$22:$W$61,MATCH("Cash from Operating Activities",Cashflow!$A$22:$A$61,0),4)</f>
        <v>12089</v>
      </c>
      <c r="E51">
        <f>INDEX(Cashflow!$A$22:$W$61,MATCH("Cash from Operating Activities",Cashflow!$A$22:$A$61,0),5)</f>
        <v>10104</v>
      </c>
      <c r="F51">
        <f>INDEX(Cashflow!$A$22:$W$61,MATCH("Cash from Operating Activities",Cashflow!$A$22:$A$61,0),6)</f>
        <v>7899</v>
      </c>
      <c r="H51">
        <f>F51</f>
        <v>7899</v>
      </c>
      <c r="I51">
        <f>E51</f>
        <v>10104</v>
      </c>
      <c r="J51">
        <f>D51</f>
        <v>12089</v>
      </c>
      <c r="K51">
        <f>C51</f>
        <v>9897</v>
      </c>
      <c r="L51">
        <f>B51</f>
        <v>0</v>
      </c>
      <c r="M51" s="14" t="s">
        <v>179</v>
      </c>
    </row>
    <row r="52" spans="1:13">
      <c r="A52" t="str">
        <f>INDEX(Cashflow!$A$22:$W$61,MATCH("capital expenditures",Cashflow!$A$22:$A$61,0),1)</f>
        <v>Capital Expenditures</v>
      </c>
      <c r="B52">
        <f>INDEX(Cashflow!$A$22:$W$61,MATCH("capital expenditures",Cashflow!$A$22:$A$61,0),2)</f>
        <v>0</v>
      </c>
      <c r="C52">
        <f>INDEX(Cashflow!$A$22:$W$61,MATCH("capital expenditures",Cashflow!$A$22:$A$61,0),3)</f>
        <v>-1005</v>
      </c>
      <c r="D52">
        <f>INDEX(Cashflow!$A$22:$W$61,MATCH("capital expenditures",Cashflow!$A$22:$A$61,0),4)</f>
        <v>-1268</v>
      </c>
      <c r="E52">
        <f>INDEX(Cashflow!$A$22:$W$61,MATCH("capital expenditures",Cashflow!$A$22:$A$61,0),5)</f>
        <v>-1251</v>
      </c>
      <c r="F52">
        <f>INDEX(Cashflow!$A$22:$W$61,MATCH("capital expenditures",Cashflow!$A$22:$A$61,0),6)</f>
        <v>-772</v>
      </c>
      <c r="H52">
        <f>-F52</f>
        <v>772</v>
      </c>
      <c r="I52">
        <f>-E52</f>
        <v>1251</v>
      </c>
      <c r="J52">
        <f>-D52</f>
        <v>1268</v>
      </c>
      <c r="K52">
        <f>-C52</f>
        <v>1005</v>
      </c>
      <c r="L52">
        <f>-B52</f>
        <v>0</v>
      </c>
      <c r="M52" t="s">
        <v>42</v>
      </c>
    </row>
    <row r="53" spans="1:13">
      <c r="A53" t="str">
        <f>INDEX(Cashflow!$A$22:$W$61,MATCH("total cash dividends paid",Cashflow!$A$22:$A$61,0),1)</f>
        <v>Total Cash Dividends Paid</v>
      </c>
      <c r="B53">
        <f>INDEX(Cashflow!$A$22:$W$61,MATCH("total cash dividends paid",Cashflow!$A$22:$A$61,0),2)</f>
        <v>0</v>
      </c>
      <c r="C53">
        <f>INDEX(Cashflow!$A$22:$W$61,MATCH("total cash dividends paid",Cashflow!$A$22:$A$61,0),3)</f>
        <v>0</v>
      </c>
      <c r="H53">
        <f>H51-H52</f>
        <v>7127</v>
      </c>
      <c r="I53">
        <f>I51-I52</f>
        <v>8853</v>
      </c>
      <c r="J53">
        <f>J51-J52</f>
        <v>10821</v>
      </c>
      <c r="K53">
        <f>K51-K52</f>
        <v>8892</v>
      </c>
      <c r="L53">
        <f>L51-L52</f>
        <v>0</v>
      </c>
      <c r="M53" t="s">
        <v>174</v>
      </c>
    </row>
    <row r="54" spans="1:13">
      <c r="H54">
        <f>H51-H13-H45</f>
        <v>4579</v>
      </c>
      <c r="I54">
        <f>I51-I13-I45</f>
        <v>6664</v>
      </c>
      <c r="J54">
        <f>J51-J13-J45</f>
        <v>8196</v>
      </c>
      <c r="K54">
        <f>K51-K13-K45</f>
        <v>5746</v>
      </c>
      <c r="L54">
        <f>L51-L13-L45</f>
        <v>-4043</v>
      </c>
      <c r="M54" s="14" t="s">
        <v>175</v>
      </c>
    </row>
    <row r="55" spans="1:13" ht="15">
      <c r="A55" s="7" t="s">
        <v>110</v>
      </c>
      <c r="B55" s="6"/>
      <c r="C55" s="6"/>
      <c r="D55" s="6"/>
      <c r="E55" s="6"/>
      <c r="F55" s="6"/>
      <c r="M55" t="s">
        <v>177</v>
      </c>
    </row>
    <row r="56" spans="1:13" ht="15.75">
      <c r="A56" s="10" t="s">
        <v>111</v>
      </c>
      <c r="C56" s="11">
        <f>'Peer companies'!B4</f>
        <v>65550</v>
      </c>
      <c r="D56" s="11">
        <f>'Peer companies'!C4</f>
        <v>77717</v>
      </c>
      <c r="E56" s="11">
        <f>'Peer companies'!D4</f>
        <v>321000</v>
      </c>
      <c r="F56" s="11">
        <f>'Peer companies'!E4</f>
        <v>7020</v>
      </c>
    </row>
    <row r="57" spans="1:13" ht="12.75">
      <c r="A57" s="12" t="str">
        <f>INDEX('Peer companies'!A2:F20,MATCH("peg (5 yr expected):",'Peer companies'!$A$2:$A$20,0),1)</f>
        <v>PEG (5 yr expected):</v>
      </c>
      <c r="B57" s="12">
        <f>INDEX('Peer companies'!B2:G24,MATCH("peg (5 yr expected):",'Peer companies'!$A$2:$A$20,0),1)</f>
        <v>1.79</v>
      </c>
      <c r="C57" s="11"/>
      <c r="D57" s="11"/>
      <c r="E57" s="11"/>
      <c r="F57" s="11"/>
    </row>
    <row r="58" spans="1:13" ht="12.75">
      <c r="A58" s="12"/>
      <c r="B58" s="11"/>
      <c r="C58" s="11"/>
      <c r="D58" s="11"/>
      <c r="E58" s="11"/>
      <c r="F58" s="11"/>
    </row>
    <row r="59" spans="1:13" ht="12.75">
      <c r="A59" s="12"/>
      <c r="B59" s="12"/>
      <c r="C59" s="12"/>
      <c r="D59" s="12"/>
      <c r="E59" s="12"/>
    </row>
    <row r="60" spans="1:13" ht="12.75">
      <c r="A60" s="12"/>
      <c r="B60" s="12"/>
      <c r="C60" s="12"/>
      <c r="D60" s="12"/>
      <c r="E60" s="12"/>
    </row>
    <row r="61" spans="1:13" ht="12.75">
      <c r="A61" s="12"/>
      <c r="B61" s="12"/>
      <c r="C61" s="12"/>
      <c r="D61" s="12"/>
      <c r="E61" s="12"/>
    </row>
    <row r="63" spans="1:13">
      <c r="A63" s="6" t="s">
        <v>119</v>
      </c>
    </row>
    <row r="64" spans="1:13">
      <c r="A64" t="str">
        <f>INDEX(Price!$A2:$B40,MATCH("last trade:",Price!$A2:$A40,0),1)</f>
        <v>Last Trade:</v>
      </c>
      <c r="B64">
        <f>INDEX(Price!$A2:$B40,MATCH("last trade:",Price!$A2:$A40,0),2)</f>
        <v>22.94</v>
      </c>
    </row>
    <row r="68" spans="1:12">
      <c r="A68" s="6" t="s">
        <v>222</v>
      </c>
      <c r="B68" s="37">
        <f>'10 year data'!$A12</f>
        <v>36708</v>
      </c>
      <c r="C68" s="37">
        <f>'10 year data'!C69</f>
        <v>0</v>
      </c>
      <c r="D68" s="37">
        <f>'10 year data'!$A10</f>
        <v>39996</v>
      </c>
      <c r="E68" s="37">
        <f>'10 year data'!$A9</f>
        <v>39997</v>
      </c>
      <c r="F68" s="37">
        <f>'10 year data'!$A8</f>
        <v>39998</v>
      </c>
      <c r="H68" s="37">
        <f>'10 year data'!$A7</f>
        <v>39999</v>
      </c>
      <c r="I68" s="37">
        <f>'10 year data'!$A6</f>
        <v>40000</v>
      </c>
      <c r="J68" s="37">
        <f>'10 year data'!$A5</f>
        <v>40001</v>
      </c>
      <c r="K68" s="37">
        <f>'10 year data'!$A4</f>
        <v>40002</v>
      </c>
      <c r="L68" s="37">
        <f>'10 year data'!$A3</f>
        <v>40003</v>
      </c>
    </row>
    <row r="69" spans="1:12">
      <c r="A69" t="str">
        <f>'10 year data'!B2</f>
        <v>Sales</v>
      </c>
      <c r="B69" s="1">
        <f>'10 year data'!$B29</f>
        <v>18928</v>
      </c>
      <c r="C69" s="1">
        <f>'10 year data'!B28</f>
        <v>18928</v>
      </c>
      <c r="D69" s="1">
        <f>'10 year data'!$B27</f>
        <v>18915</v>
      </c>
      <c r="E69" s="1">
        <f>'10 year data'!$B26</f>
        <v>18878</v>
      </c>
      <c r="F69" s="1">
        <f>'10 year data'!$B25</f>
        <v>22045</v>
      </c>
      <c r="H69" s="1">
        <f>'10 year data'!$B24</f>
        <v>24801</v>
      </c>
      <c r="I69" s="1">
        <f>'10 year data'!$B23</f>
        <v>28484</v>
      </c>
      <c r="J69" s="1">
        <f>'10 year data'!$B22</f>
        <v>34922</v>
      </c>
      <c r="K69" s="1">
        <f>'10 year data'!$B21</f>
        <v>39540</v>
      </c>
      <c r="L69" s="1">
        <f>'10 year data'!$B20</f>
        <v>36117</v>
      </c>
    </row>
    <row r="70" spans="1:12">
      <c r="A70" t="str">
        <f>'10 year data'!F2</f>
        <v>EPS</v>
      </c>
      <c r="B70" s="4">
        <f>'10 year data'!$F29</f>
        <v>0.36</v>
      </c>
      <c r="C70" s="4">
        <f>'10 year data'!F28</f>
        <v>0.36</v>
      </c>
      <c r="D70" s="4">
        <f>'10 year data'!$F27</f>
        <v>0.25</v>
      </c>
      <c r="E70" s="4">
        <f>'10 year data'!$F26</f>
        <v>0.5</v>
      </c>
      <c r="F70" s="4">
        <f>'10 year data'!$F25</f>
        <v>0.7</v>
      </c>
      <c r="H70" s="4">
        <f>'10 year data'!$F24</f>
        <v>0.87</v>
      </c>
      <c r="I70" s="4">
        <f>'10 year data'!$F23</f>
        <v>0.89</v>
      </c>
      <c r="J70" s="4">
        <f>'10 year data'!$F22</f>
        <v>1.17</v>
      </c>
      <c r="K70" s="4">
        <f>'10 year data'!$F21</f>
        <v>1.31</v>
      </c>
      <c r="L70" s="4">
        <f>'10 year data'!$F20</f>
        <v>1.05</v>
      </c>
    </row>
    <row r="72" spans="1:12">
      <c r="A72" s="42" t="s">
        <v>235</v>
      </c>
    </row>
    <row r="73" spans="1:12" ht="12.75">
      <c r="A73" s="12" t="str">
        <f>INDEX('5 year ACE'!A2:G10,MATCH("company",'5 year ACE'!A2:A10,0),1)</f>
        <v>Company</v>
      </c>
      <c r="B73" s="12">
        <f>INDEX('5 year ACE'!A2:H10,MATCH("company",'5 year ACE'!A2:A10,0),5)</f>
        <v>0.11</v>
      </c>
    </row>
    <row r="77" spans="1:12">
      <c r="G77" s="25"/>
    </row>
  </sheetData>
  <phoneticPr fontId="4" type="noConversion"/>
  <pageMargins left="0.75" right="0.75" top="1" bottom="1" header="0.5" footer="0.5"/>
  <pageSetup orientation="portrait" horizontalDpi="4294967293" verticalDpi="0" r:id="rId1"/>
  <headerFooter alignWithMargins="0"/>
  <ignoredErrors>
    <ignoredError sqref="F4" evalError="1"/>
  </ignoredErrors>
</worksheet>
</file>

<file path=xl/worksheets/sheet4.xml><?xml version="1.0" encoding="utf-8"?>
<worksheet xmlns="http://schemas.openxmlformats.org/spreadsheetml/2006/main" xmlns:r="http://schemas.openxmlformats.org/officeDocument/2006/relationships">
  <sheetPr codeName="Sheet7"/>
  <dimension ref="A1:F28"/>
  <sheetViews>
    <sheetView workbookViewId="0">
      <selection activeCell="B22" sqref="B22"/>
    </sheetView>
  </sheetViews>
  <sheetFormatPr defaultRowHeight="12"/>
  <cols>
    <col min="1" max="1" width="39.75" customWidth="1"/>
    <col min="2" max="2" width="7.875" customWidth="1"/>
    <col min="3" max="3" width="6.875" customWidth="1"/>
    <col min="4" max="5" width="7.875" customWidth="1"/>
    <col min="6" max="6" width="8.875" customWidth="1"/>
  </cols>
  <sheetData>
    <row r="1" spans="1:6">
      <c r="A1" s="5" t="str">
        <f>'Quick Analysis'!F2</f>
        <v>CSCO</v>
      </c>
    </row>
    <row r="2" spans="1:6">
      <c r="B2" t="s">
        <v>332</v>
      </c>
      <c r="C2" t="s">
        <v>333</v>
      </c>
      <c r="D2" t="s">
        <v>334</v>
      </c>
      <c r="E2" t="s">
        <v>335</v>
      </c>
      <c r="F2" t="s">
        <v>95</v>
      </c>
    </row>
    <row r="3" spans="1:6">
      <c r="A3" t="s">
        <v>96</v>
      </c>
      <c r="B3" t="s">
        <v>336</v>
      </c>
      <c r="C3" t="s">
        <v>337</v>
      </c>
      <c r="D3" t="s">
        <v>338</v>
      </c>
      <c r="E3" t="s">
        <v>339</v>
      </c>
      <c r="F3" t="s">
        <v>340</v>
      </c>
    </row>
    <row r="4" spans="1:6">
      <c r="A4" t="s">
        <v>98</v>
      </c>
      <c r="B4" s="1">
        <v>65550</v>
      </c>
      <c r="C4" s="1">
        <v>77717</v>
      </c>
      <c r="D4" s="1">
        <v>321000</v>
      </c>
      <c r="E4" s="1">
        <v>7020</v>
      </c>
      <c r="F4">
        <v>663</v>
      </c>
    </row>
    <row r="5" spans="1:6">
      <c r="A5" t="s">
        <v>99</v>
      </c>
      <c r="B5" s="2">
        <v>-0.17599999999999999</v>
      </c>
      <c r="C5" s="2">
        <v>-4.8000000000000001E-2</v>
      </c>
      <c r="D5" s="2">
        <v>-2.1000000000000001E-2</v>
      </c>
      <c r="E5" s="2">
        <v>-0.105</v>
      </c>
      <c r="F5" s="2">
        <v>0.39</v>
      </c>
    </row>
    <row r="6" spans="1:6">
      <c r="A6" t="s">
        <v>100</v>
      </c>
      <c r="B6" s="1" t="s">
        <v>341</v>
      </c>
      <c r="C6" s="1" t="s">
        <v>97</v>
      </c>
      <c r="D6" s="1" t="s">
        <v>342</v>
      </c>
      <c r="E6" s="1" t="s">
        <v>343</v>
      </c>
      <c r="F6" t="s">
        <v>344</v>
      </c>
    </row>
    <row r="7" spans="1:6">
      <c r="A7" t="s">
        <v>101</v>
      </c>
      <c r="B7" s="2">
        <v>0.63939999999999997</v>
      </c>
      <c r="C7" s="2">
        <v>0.32629999999999998</v>
      </c>
      <c r="D7" s="2">
        <v>0.2321</v>
      </c>
      <c r="E7" s="2">
        <v>0.65910000000000002</v>
      </c>
      <c r="F7" s="2">
        <v>0.41410000000000002</v>
      </c>
    </row>
    <row r="8" spans="1:6">
      <c r="A8" t="s">
        <v>102</v>
      </c>
      <c r="B8" t="s">
        <v>345</v>
      </c>
      <c r="C8" t="s">
        <v>97</v>
      </c>
      <c r="D8" t="s">
        <v>346</v>
      </c>
      <c r="E8" t="s">
        <v>347</v>
      </c>
      <c r="F8" t="s">
        <v>348</v>
      </c>
    </row>
    <row r="9" spans="1:6">
      <c r="A9" t="s">
        <v>103</v>
      </c>
      <c r="B9" s="2">
        <v>0.20710000000000001</v>
      </c>
      <c r="C9" s="2" t="s">
        <v>97</v>
      </c>
      <c r="D9" s="2">
        <v>9.2200000000000004E-2</v>
      </c>
      <c r="E9" s="2">
        <v>0.1711</v>
      </c>
      <c r="F9" s="2">
        <v>-1.11E-2</v>
      </c>
    </row>
    <row r="10" spans="1:6">
      <c r="A10" t="s">
        <v>104</v>
      </c>
      <c r="B10" t="s">
        <v>349</v>
      </c>
      <c r="C10" t="s">
        <v>97</v>
      </c>
      <c r="D10" t="s">
        <v>350</v>
      </c>
      <c r="E10" t="s">
        <v>351</v>
      </c>
      <c r="F10" t="s">
        <v>97</v>
      </c>
    </row>
    <row r="11" spans="1:6">
      <c r="A11" t="s">
        <v>105</v>
      </c>
      <c r="B11" s="2">
        <v>1.0469999999999999</v>
      </c>
      <c r="C11" s="2" t="s">
        <v>97</v>
      </c>
      <c r="D11" s="2">
        <v>2.97</v>
      </c>
      <c r="E11" s="2">
        <v>0.54300000000000004</v>
      </c>
      <c r="F11" s="2">
        <v>0.05</v>
      </c>
    </row>
    <row r="12" spans="1:6">
      <c r="A12" t="s">
        <v>106</v>
      </c>
      <c r="B12">
        <v>21.91</v>
      </c>
      <c r="C12" t="s">
        <v>97</v>
      </c>
      <c r="D12">
        <v>15.51</v>
      </c>
      <c r="E12">
        <v>48.58</v>
      </c>
      <c r="F12">
        <v>28.77</v>
      </c>
    </row>
    <row r="13" spans="1:6">
      <c r="A13" t="s">
        <v>107</v>
      </c>
      <c r="B13">
        <v>1.79</v>
      </c>
      <c r="C13" t="s">
        <v>97</v>
      </c>
      <c r="D13">
        <v>1.2</v>
      </c>
      <c r="E13">
        <v>1.7</v>
      </c>
      <c r="F13">
        <v>1.78</v>
      </c>
    </row>
    <row r="14" spans="1:6">
      <c r="A14" t="s">
        <v>108</v>
      </c>
      <c r="B14">
        <v>3.63</v>
      </c>
      <c r="C14" t="s">
        <v>97</v>
      </c>
      <c r="D14">
        <v>0.92</v>
      </c>
      <c r="E14">
        <v>3.96</v>
      </c>
      <c r="F14">
        <v>1.53</v>
      </c>
    </row>
    <row r="18" spans="1:5">
      <c r="A18" t="s">
        <v>352</v>
      </c>
    </row>
    <row r="22" spans="1:5">
      <c r="A22" s="5" t="s">
        <v>187</v>
      </c>
      <c r="B22" s="5" t="str">
        <f>IF(ISBLANK($A$3),B5,B2)</f>
        <v>CSCO</v>
      </c>
      <c r="C22" s="5" t="str">
        <f>IF(ISBLANK($A$3),C5,C2)</f>
        <v>ALU</v>
      </c>
      <c r="D22" s="5" t="str">
        <f>IF(ISBLANK($A$3),D5,D2)</f>
        <v>HPQ</v>
      </c>
      <c r="E22" s="5" t="str">
        <f>IF(ISBLANK($A$3),E5,E2)</f>
        <v>JNPR</v>
      </c>
    </row>
    <row r="23" spans="1:5">
      <c r="B23" s="18"/>
    </row>
    <row r="26" spans="1:5">
      <c r="A26" s="5" t="s">
        <v>316</v>
      </c>
    </row>
    <row r="27" spans="1:5">
      <c r="A27" s="5" t="s">
        <v>315</v>
      </c>
    </row>
    <row r="28" spans="1:5">
      <c r="A28" s="5" t="s">
        <v>317</v>
      </c>
    </row>
  </sheetData>
  <phoneticPr fontId="4" type="noConversion"/>
  <pageMargins left="0.75" right="0.75" top="1" bottom="1" header="0.5" footer="0.5"/>
  <pageSetup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sheetPr codeName="Sheet9"/>
  <dimension ref="A1:A11"/>
  <sheetViews>
    <sheetView workbookViewId="0">
      <selection activeCell="A2" sqref="A2"/>
    </sheetView>
  </sheetViews>
  <sheetFormatPr defaultRowHeight="12"/>
  <cols>
    <col min="1" max="1" width="81" customWidth="1"/>
  </cols>
  <sheetData>
    <row r="1" spans="1:1">
      <c r="A1" s="5" t="str">
        <f>'Quick Analysis'!F2</f>
        <v>CSCO</v>
      </c>
    </row>
    <row r="2" spans="1:1" ht="173.25" customHeight="1">
      <c r="A2" s="40" t="s">
        <v>353</v>
      </c>
    </row>
    <row r="3" spans="1:1">
      <c r="A3" s="18"/>
    </row>
    <row r="11" spans="1:1" ht="12.75" customHeight="1"/>
  </sheetData>
  <phoneticPr fontId="4"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10"/>
  <dimension ref="A1:Q5"/>
  <sheetViews>
    <sheetView workbookViewId="0">
      <selection activeCell="A11" sqref="A11"/>
    </sheetView>
  </sheetViews>
  <sheetFormatPr defaultRowHeight="12"/>
  <cols>
    <col min="1" max="1" width="24.25" customWidth="1"/>
    <col min="2" max="2" width="13" customWidth="1"/>
    <col min="3" max="4" width="7.875" customWidth="1"/>
    <col min="5" max="5" width="13" customWidth="1"/>
    <col min="6" max="6" width="8.875" customWidth="1"/>
    <col min="7" max="7" width="6.875" customWidth="1"/>
    <col min="8" max="9" width="7.875" customWidth="1"/>
    <col min="10" max="10" width="13" customWidth="1"/>
    <col min="11" max="11" width="10.875" customWidth="1"/>
    <col min="12" max="13" width="7.875" customWidth="1"/>
    <col min="14" max="14" width="13" customWidth="1"/>
    <col min="15" max="15" width="8.875" customWidth="1"/>
    <col min="16" max="17" width="7.875" bestFit="1" customWidth="1"/>
    <col min="18" max="18" width="13" bestFit="1" customWidth="1"/>
    <col min="19" max="19" width="6.875" bestFit="1" customWidth="1"/>
  </cols>
  <sheetData>
    <row r="1" spans="1:17">
      <c r="A1" s="5" t="str">
        <f>'Quick Analysis'!F2</f>
        <v>CSCO</v>
      </c>
      <c r="H1" s="5" t="s">
        <v>320</v>
      </c>
      <c r="I1" s="5"/>
      <c r="J1" s="5"/>
      <c r="K1" s="5"/>
      <c r="L1" s="5"/>
      <c r="M1" s="5"/>
      <c r="N1" s="5"/>
      <c r="O1" s="5"/>
      <c r="P1" s="5"/>
      <c r="Q1" s="5"/>
    </row>
    <row r="2" spans="1:17">
      <c r="A2" t="s">
        <v>305</v>
      </c>
      <c r="B2" t="s">
        <v>306</v>
      </c>
      <c r="C2" t="s">
        <v>307</v>
      </c>
      <c r="D2" t="s">
        <v>328</v>
      </c>
      <c r="E2" t="s">
        <v>308</v>
      </c>
      <c r="F2" t="s">
        <v>329</v>
      </c>
    </row>
    <row r="3" spans="1:17">
      <c r="A3" t="s">
        <v>309</v>
      </c>
      <c r="B3" s="2">
        <v>9.0999999999999998E-2</v>
      </c>
      <c r="C3" s="2">
        <v>-1.6E-2</v>
      </c>
      <c r="D3" s="2">
        <v>0.21</v>
      </c>
      <c r="E3" s="2">
        <v>0.11</v>
      </c>
      <c r="F3" s="2">
        <v>19.7</v>
      </c>
    </row>
    <row r="4" spans="1:17">
      <c r="A4" t="s">
        <v>95</v>
      </c>
      <c r="B4" s="2">
        <v>0.10199999999999999</v>
      </c>
      <c r="C4" s="2">
        <v>3.4000000000000002E-2</v>
      </c>
      <c r="D4" s="2">
        <v>0.23799999999999999</v>
      </c>
      <c r="E4" s="2">
        <v>0.17199999999999999</v>
      </c>
      <c r="F4" s="2">
        <v>10.3</v>
      </c>
    </row>
    <row r="5" spans="1:17">
      <c r="A5" t="s">
        <v>310</v>
      </c>
      <c r="B5" s="2">
        <v>-2.7E-2</v>
      </c>
      <c r="C5" s="2">
        <v>9.8000000000000004E-2</v>
      </c>
      <c r="D5" s="2">
        <v>0.28799999999999998</v>
      </c>
      <c r="E5" t="s">
        <v>311</v>
      </c>
      <c r="F5">
        <v>18.899999999999999</v>
      </c>
    </row>
  </sheetData>
  <phoneticPr fontId="4" type="noConversion"/>
  <pageMargins left="0.75" right="0.75" top="1" bottom="1" header="0.5" footer="0.5"/>
  <pageSetup orientation="portrait" horizontalDpi="4294967293" verticalDpi="0" r:id="rId1"/>
  <headerFooter alignWithMargins="0"/>
</worksheet>
</file>

<file path=xl/worksheets/sheet7.xml><?xml version="1.0" encoding="utf-8"?>
<worksheet xmlns="http://schemas.openxmlformats.org/spreadsheetml/2006/main" xmlns:r="http://schemas.openxmlformats.org/officeDocument/2006/relationships">
  <sheetPr codeName="Sheet11"/>
  <dimension ref="A1:G32"/>
  <sheetViews>
    <sheetView workbookViewId="0">
      <selection activeCell="C32" sqref="C32"/>
    </sheetView>
  </sheetViews>
  <sheetFormatPr defaultRowHeight="12"/>
  <cols>
    <col min="1" max="1" width="6.875" customWidth="1"/>
    <col min="2" max="3" width="9.875" customWidth="1"/>
    <col min="4" max="4" width="13" customWidth="1"/>
    <col min="5" max="5" width="17.125" customWidth="1"/>
    <col min="6" max="6" width="5.875" customWidth="1"/>
    <col min="7" max="8" width="13" customWidth="1"/>
    <col min="9" max="9" width="6.875" bestFit="1" customWidth="1"/>
    <col min="10" max="10" width="9.875" bestFit="1" customWidth="1"/>
    <col min="11" max="11" width="8.875" bestFit="1" customWidth="1"/>
    <col min="12" max="12" width="13" bestFit="1" customWidth="1"/>
    <col min="13" max="13" width="17.125" bestFit="1" customWidth="1"/>
    <col min="14" max="14" width="4.875" bestFit="1" customWidth="1"/>
    <col min="15" max="15" width="13" bestFit="1" customWidth="1"/>
  </cols>
  <sheetData>
    <row r="1" spans="1:7">
      <c r="A1" s="32" t="str">
        <f>'Quick Analysis'!F2</f>
        <v>CSCO</v>
      </c>
      <c r="B1" s="32"/>
      <c r="C1" s="32"/>
    </row>
    <row r="2" spans="1:7">
      <c r="B2" t="s">
        <v>130</v>
      </c>
      <c r="C2" t="s">
        <v>217</v>
      </c>
      <c r="D2" t="s">
        <v>218</v>
      </c>
      <c r="E2" t="s">
        <v>219</v>
      </c>
      <c r="F2" t="s">
        <v>220</v>
      </c>
      <c r="G2" t="s">
        <v>221</v>
      </c>
    </row>
    <row r="3" spans="1:7">
      <c r="A3" s="13">
        <v>40003</v>
      </c>
      <c r="B3" s="4">
        <v>36117</v>
      </c>
      <c r="C3" s="4">
        <v>7693</v>
      </c>
      <c r="D3" s="4">
        <v>1768</v>
      </c>
      <c r="E3" s="4">
        <v>6134</v>
      </c>
      <c r="F3" s="99">
        <v>1.05</v>
      </c>
      <c r="G3">
        <v>20.27</v>
      </c>
    </row>
    <row r="4" spans="1:7">
      <c r="A4" s="13">
        <v>40002</v>
      </c>
      <c r="B4" s="4">
        <v>39540</v>
      </c>
      <c r="C4" s="4">
        <v>10255</v>
      </c>
      <c r="D4" s="4">
        <v>1744</v>
      </c>
      <c r="E4" s="4">
        <v>8052</v>
      </c>
      <c r="F4" s="99">
        <v>1.31</v>
      </c>
      <c r="G4">
        <v>21.48</v>
      </c>
    </row>
    <row r="5" spans="1:7">
      <c r="A5" s="13">
        <v>40001</v>
      </c>
      <c r="B5" s="4">
        <v>34922</v>
      </c>
      <c r="C5" s="4">
        <v>9461</v>
      </c>
      <c r="D5" s="4">
        <v>1413</v>
      </c>
      <c r="E5" s="4">
        <v>7333</v>
      </c>
      <c r="F5" s="99">
        <v>1.17</v>
      </c>
      <c r="G5">
        <v>22.49</v>
      </c>
    </row>
    <row r="6" spans="1:7">
      <c r="A6" s="13">
        <v>40000</v>
      </c>
      <c r="B6" s="4">
        <v>28484</v>
      </c>
      <c r="C6" s="4">
        <v>7633</v>
      </c>
      <c r="D6" s="4">
        <v>1353</v>
      </c>
      <c r="E6" s="4">
        <v>5580</v>
      </c>
      <c r="F6" s="99">
        <v>0.89</v>
      </c>
      <c r="G6">
        <v>26.9</v>
      </c>
    </row>
    <row r="7" spans="1:7">
      <c r="A7" s="13">
        <v>39999</v>
      </c>
      <c r="B7" s="4">
        <v>24801</v>
      </c>
      <c r="C7" s="4">
        <v>8036</v>
      </c>
      <c r="D7" s="4">
        <v>1020</v>
      </c>
      <c r="E7" s="4">
        <v>5741</v>
      </c>
      <c r="F7" s="99">
        <v>0.87</v>
      </c>
      <c r="G7">
        <v>28.56</v>
      </c>
    </row>
    <row r="8" spans="1:7">
      <c r="A8" s="13">
        <v>39998</v>
      </c>
      <c r="B8" s="4">
        <v>22045</v>
      </c>
      <c r="C8" s="4">
        <v>6992</v>
      </c>
      <c r="D8" s="4">
        <v>1199</v>
      </c>
      <c r="E8" s="4">
        <v>4968</v>
      </c>
      <c r="F8" s="99">
        <v>0.7</v>
      </c>
      <c r="G8">
        <v>28.95</v>
      </c>
    </row>
    <row r="9" spans="1:7">
      <c r="A9" s="13">
        <v>39997</v>
      </c>
      <c r="B9" s="4">
        <v>18878</v>
      </c>
      <c r="C9" s="4">
        <v>5013</v>
      </c>
      <c r="D9" s="4">
        <v>1463</v>
      </c>
      <c r="E9" s="4">
        <v>3578</v>
      </c>
      <c r="F9" s="99">
        <v>0.5</v>
      </c>
      <c r="G9">
        <v>28.63</v>
      </c>
    </row>
    <row r="10" spans="1:7">
      <c r="A10" s="13">
        <v>39996</v>
      </c>
      <c r="B10" s="4">
        <v>18915</v>
      </c>
      <c r="C10" s="4">
        <v>2710</v>
      </c>
      <c r="D10" s="4">
        <v>1957</v>
      </c>
      <c r="E10" s="4">
        <v>1893</v>
      </c>
      <c r="F10" s="99">
        <v>0.25</v>
      </c>
      <c r="G10">
        <v>30.15</v>
      </c>
    </row>
    <row r="11" spans="1:7">
      <c r="A11" s="98">
        <v>39995</v>
      </c>
      <c r="B11" s="4">
        <v>22293</v>
      </c>
      <c r="C11" s="4">
        <v>-874</v>
      </c>
      <c r="D11" s="4">
        <v>2236</v>
      </c>
      <c r="E11" s="4">
        <v>-1014</v>
      </c>
      <c r="F11" s="99">
        <v>-0.14000000000000001</v>
      </c>
      <c r="G11">
        <v>0</v>
      </c>
    </row>
    <row r="12" spans="1:7">
      <c r="A12" s="13">
        <v>36708</v>
      </c>
      <c r="B12" s="4">
        <v>18928</v>
      </c>
      <c r="C12" s="4">
        <v>4343</v>
      </c>
      <c r="D12" s="4">
        <v>863</v>
      </c>
      <c r="E12" s="4">
        <v>2668</v>
      </c>
      <c r="F12" s="99">
        <v>0.36</v>
      </c>
      <c r="G12">
        <v>38.57</v>
      </c>
    </row>
    <row r="13" spans="1:7">
      <c r="A13" s="37"/>
    </row>
    <row r="14" spans="1:7">
      <c r="A14" s="37"/>
    </row>
    <row r="15" spans="1:7">
      <c r="A15" s="37"/>
    </row>
    <row r="16" spans="1:7">
      <c r="A16" s="37"/>
    </row>
    <row r="17" spans="1:7">
      <c r="A17" s="37"/>
    </row>
    <row r="18" spans="1:7">
      <c r="A18" s="37"/>
    </row>
    <row r="19" spans="1:7">
      <c r="A19" s="100" t="s">
        <v>325</v>
      </c>
      <c r="B19" s="5"/>
      <c r="C19" s="5"/>
      <c r="D19" s="5"/>
      <c r="E19" s="5"/>
      <c r="F19" s="5"/>
      <c r="G19" s="5"/>
    </row>
    <row r="20" spans="1:7">
      <c r="A20" s="37"/>
      <c r="B20" s="4">
        <f t="shared" ref="B20:B27" si="0">B3</f>
        <v>36117</v>
      </c>
      <c r="F20" s="99">
        <f t="shared" ref="F20:F27" si="1">F3</f>
        <v>1.05</v>
      </c>
    </row>
    <row r="21" spans="1:7">
      <c r="A21" s="37"/>
      <c r="B21" s="4">
        <f t="shared" si="0"/>
        <v>39540</v>
      </c>
      <c r="F21" s="99">
        <f t="shared" si="1"/>
        <v>1.31</v>
      </c>
    </row>
    <row r="22" spans="1:7">
      <c r="A22" s="37"/>
      <c r="B22" s="4">
        <f t="shared" si="0"/>
        <v>34922</v>
      </c>
      <c r="F22" s="99">
        <f t="shared" si="1"/>
        <v>1.17</v>
      </c>
    </row>
    <row r="23" spans="1:7">
      <c r="A23" s="37"/>
      <c r="B23" s="4">
        <f t="shared" si="0"/>
        <v>28484</v>
      </c>
      <c r="F23" s="99">
        <f t="shared" si="1"/>
        <v>0.89</v>
      </c>
    </row>
    <row r="24" spans="1:7">
      <c r="A24" s="37"/>
      <c r="B24" s="4">
        <f t="shared" si="0"/>
        <v>24801</v>
      </c>
      <c r="F24" s="99">
        <f t="shared" si="1"/>
        <v>0.87</v>
      </c>
    </row>
    <row r="25" spans="1:7">
      <c r="A25" s="37"/>
      <c r="B25" s="4">
        <f t="shared" si="0"/>
        <v>22045</v>
      </c>
      <c r="F25" s="99">
        <f t="shared" si="1"/>
        <v>0.7</v>
      </c>
    </row>
    <row r="26" spans="1:7">
      <c r="A26" s="37"/>
      <c r="B26" s="4">
        <f t="shared" si="0"/>
        <v>18878</v>
      </c>
      <c r="F26" s="99">
        <f t="shared" si="1"/>
        <v>0.5</v>
      </c>
    </row>
    <row r="27" spans="1:7">
      <c r="A27" s="37"/>
      <c r="B27" s="4">
        <f t="shared" si="0"/>
        <v>18915</v>
      </c>
      <c r="F27" s="99">
        <f t="shared" si="1"/>
        <v>0.25</v>
      </c>
    </row>
    <row r="28" spans="1:7">
      <c r="A28" s="37"/>
      <c r="B28" s="4">
        <f>B12</f>
        <v>18928</v>
      </c>
      <c r="F28" s="99">
        <f>F12</f>
        <v>0.36</v>
      </c>
    </row>
    <row r="29" spans="1:7">
      <c r="A29" s="37"/>
      <c r="B29" s="4">
        <f>IF(ISBLANK(B13),B12,B13)</f>
        <v>18928</v>
      </c>
      <c r="F29" s="99">
        <f>IF(ISBLANK(F13),F12,F13)</f>
        <v>0.36</v>
      </c>
    </row>
    <row r="30" spans="1:7">
      <c r="A30" s="37"/>
      <c r="B30" s="4"/>
    </row>
    <row r="31" spans="1:7">
      <c r="A31" s="37"/>
      <c r="B31" s="4"/>
    </row>
    <row r="32" spans="1:7">
      <c r="A32" s="37"/>
    </row>
  </sheetData>
  <phoneticPr fontId="4" type="noConversion"/>
  <pageMargins left="0.75" right="0.75" top="1" bottom="1" header="0.5" footer="0.5"/>
  <pageSetup orientation="portrait" horizontalDpi="4294967294" verticalDpi="0" r:id="rId1"/>
  <headerFooter alignWithMargins="0"/>
</worksheet>
</file>

<file path=xl/worksheets/sheet8.xml><?xml version="1.0" encoding="utf-8"?>
<worksheet xmlns="http://schemas.openxmlformats.org/spreadsheetml/2006/main" xmlns:r="http://schemas.openxmlformats.org/officeDocument/2006/relationships">
  <sheetPr codeName="Sheet5"/>
  <dimension ref="A1:W72"/>
  <sheetViews>
    <sheetView workbookViewId="0">
      <selection activeCell="A2" sqref="A2"/>
    </sheetView>
  </sheetViews>
  <sheetFormatPr defaultRowHeight="12"/>
  <cols>
    <col min="1" max="1" width="81" customWidth="1"/>
    <col min="2" max="3" width="10.875" customWidth="1"/>
    <col min="4" max="4" width="49" customWidth="1"/>
    <col min="5" max="6" width="10.875" customWidth="1"/>
    <col min="7" max="7" width="14" customWidth="1"/>
    <col min="8" max="8" width="10.875" customWidth="1"/>
    <col min="9" max="9" width="11.875" customWidth="1"/>
    <col min="10" max="10" width="15" customWidth="1"/>
    <col min="11" max="11" width="10.875" customWidth="1"/>
    <col min="12" max="12" width="16" customWidth="1"/>
    <col min="13" max="13" width="10.875" customWidth="1"/>
    <col min="14" max="14" width="11.875" customWidth="1"/>
    <col min="15" max="15" width="15" bestFit="1" customWidth="1"/>
    <col min="16" max="16" width="10.875" customWidth="1"/>
    <col min="17" max="17" width="16" bestFit="1" customWidth="1"/>
  </cols>
  <sheetData>
    <row r="1" spans="1:23">
      <c r="A1" s="6" t="str">
        <f>'Quick Analysis'!F2</f>
        <v>CSCO</v>
      </c>
    </row>
    <row r="2" spans="1:23">
      <c r="A2" t="s">
        <v>120</v>
      </c>
      <c r="R2" t="s">
        <v>11</v>
      </c>
    </row>
    <row r="3" spans="1:23">
      <c r="A3" t="s">
        <v>121</v>
      </c>
      <c r="U3" t="s">
        <v>12</v>
      </c>
      <c r="V3" t="s">
        <v>13</v>
      </c>
    </row>
    <row r="4" spans="1:23">
      <c r="A4" t="s">
        <v>122</v>
      </c>
    </row>
    <row r="5" spans="1:23">
      <c r="A5" t="s">
        <v>123</v>
      </c>
      <c r="R5" t="s">
        <v>14</v>
      </c>
    </row>
    <row r="6" spans="1:23">
      <c r="A6" t="s">
        <v>354</v>
      </c>
      <c r="G6" t="s">
        <v>126</v>
      </c>
    </row>
    <row r="7" spans="1:23">
      <c r="R7" t="s">
        <v>15</v>
      </c>
    </row>
    <row r="8" spans="1:23">
      <c r="A8" t="s">
        <v>15</v>
      </c>
      <c r="R8" t="s">
        <v>16</v>
      </c>
    </row>
    <row r="9" spans="1:23">
      <c r="A9" t="s">
        <v>16</v>
      </c>
    </row>
    <row r="11" spans="1:23">
      <c r="R11" t="s">
        <v>17</v>
      </c>
    </row>
    <row r="12" spans="1:23">
      <c r="A12" t="s">
        <v>17</v>
      </c>
    </row>
    <row r="15" spans="1:23">
      <c r="S15">
        <v>2006</v>
      </c>
      <c r="T15">
        <v>2005</v>
      </c>
      <c r="U15">
        <v>2004</v>
      </c>
      <c r="V15">
        <v>2003</v>
      </c>
      <c r="W15">
        <v>2002</v>
      </c>
    </row>
    <row r="16" spans="1:23">
      <c r="A16" t="s">
        <v>255</v>
      </c>
      <c r="R16" t="s">
        <v>18</v>
      </c>
      <c r="S16" s="3">
        <v>39081</v>
      </c>
      <c r="T16" s="3">
        <v>38717</v>
      </c>
      <c r="U16" s="3">
        <v>38346</v>
      </c>
      <c r="V16" s="3">
        <v>37982</v>
      </c>
      <c r="W16" s="3">
        <v>37618</v>
      </c>
    </row>
    <row r="17" spans="1:23">
      <c r="A17" t="s">
        <v>256</v>
      </c>
      <c r="R17" t="s">
        <v>19</v>
      </c>
      <c r="S17" t="s">
        <v>20</v>
      </c>
      <c r="T17" t="s">
        <v>21</v>
      </c>
      <c r="U17" t="s">
        <v>20</v>
      </c>
      <c r="V17" t="s">
        <v>20</v>
      </c>
      <c r="W17" t="s">
        <v>20</v>
      </c>
    </row>
    <row r="18" spans="1:23">
      <c r="A18" t="s">
        <v>174</v>
      </c>
      <c r="B18" s="3"/>
      <c r="C18" s="3"/>
      <c r="R18" t="s">
        <v>22</v>
      </c>
      <c r="S18" t="s">
        <v>23</v>
      </c>
      <c r="T18" t="s">
        <v>23</v>
      </c>
      <c r="U18" t="s">
        <v>23</v>
      </c>
      <c r="V18" t="s">
        <v>23</v>
      </c>
      <c r="W18" t="s">
        <v>23</v>
      </c>
    </row>
    <row r="19" spans="1:23">
      <c r="A19" t="s">
        <v>257</v>
      </c>
      <c r="B19" s="3"/>
      <c r="R19" t="s">
        <v>24</v>
      </c>
      <c r="S19" s="3">
        <v>39139</v>
      </c>
      <c r="T19" s="3">
        <v>38775</v>
      </c>
      <c r="U19" s="3">
        <v>38405</v>
      </c>
      <c r="V19" s="3">
        <v>38040</v>
      </c>
      <c r="W19" s="3">
        <v>37691</v>
      </c>
    </row>
    <row r="20" spans="1:23">
      <c r="A20" t="s">
        <v>258</v>
      </c>
      <c r="B20" t="s">
        <v>259</v>
      </c>
      <c r="D20" t="s">
        <v>260</v>
      </c>
      <c r="R20" t="s">
        <v>25</v>
      </c>
      <c r="S20" t="s">
        <v>26</v>
      </c>
      <c r="T20" t="s">
        <v>26</v>
      </c>
      <c r="U20" t="s">
        <v>26</v>
      </c>
      <c r="V20" t="s">
        <v>26</v>
      </c>
      <c r="W20" t="s">
        <v>26</v>
      </c>
    </row>
    <row r="21" spans="1:23">
      <c r="B21" s="3"/>
      <c r="C21" s="3"/>
      <c r="D21" t="s">
        <v>261</v>
      </c>
    </row>
    <row r="22" spans="1:23">
      <c r="B22" s="3"/>
      <c r="C22">
        <v>2009</v>
      </c>
      <c r="D22">
        <v>2008</v>
      </c>
      <c r="E22">
        <v>2007</v>
      </c>
      <c r="F22">
        <v>2006</v>
      </c>
      <c r="G22">
        <v>2005</v>
      </c>
      <c r="R22" t="s">
        <v>27</v>
      </c>
      <c r="S22" s="4">
        <v>5044</v>
      </c>
      <c r="T22" s="4">
        <v>8664</v>
      </c>
      <c r="U22" s="4">
        <v>7516</v>
      </c>
      <c r="V22" s="4">
        <v>5641</v>
      </c>
      <c r="W22" s="4">
        <v>3117</v>
      </c>
    </row>
    <row r="23" spans="1:23">
      <c r="A23" t="s">
        <v>18</v>
      </c>
      <c r="C23" s="3">
        <v>40019</v>
      </c>
      <c r="D23" s="3">
        <v>39655</v>
      </c>
      <c r="E23" s="3">
        <v>39291</v>
      </c>
      <c r="F23" s="3">
        <v>38927</v>
      </c>
      <c r="G23" s="3">
        <v>38563</v>
      </c>
      <c r="R23" t="s">
        <v>28</v>
      </c>
      <c r="S23" s="4">
        <v>4654</v>
      </c>
      <c r="T23" s="4">
        <v>4345</v>
      </c>
      <c r="U23" s="4">
        <v>4590</v>
      </c>
      <c r="V23" s="4">
        <v>4651</v>
      </c>
      <c r="W23" s="4">
        <v>4676</v>
      </c>
    </row>
    <row r="24" spans="1:23">
      <c r="A24" t="s">
        <v>19</v>
      </c>
      <c r="B24" s="4"/>
      <c r="C24" s="4" t="s">
        <v>20</v>
      </c>
      <c r="D24" t="s">
        <v>20</v>
      </c>
      <c r="E24" t="s">
        <v>20</v>
      </c>
      <c r="F24" t="s">
        <v>20</v>
      </c>
      <c r="G24" t="s">
        <v>20</v>
      </c>
      <c r="R24" t="s">
        <v>29</v>
      </c>
      <c r="S24">
        <v>258</v>
      </c>
      <c r="T24">
        <v>250</v>
      </c>
      <c r="U24">
        <v>299</v>
      </c>
      <c r="V24" s="4">
        <v>1036</v>
      </c>
      <c r="W24">
        <v>668</v>
      </c>
    </row>
    <row r="25" spans="1:23">
      <c r="A25" t="s">
        <v>22</v>
      </c>
      <c r="B25" s="4"/>
      <c r="C25" s="4" t="s">
        <v>23</v>
      </c>
      <c r="D25" t="s">
        <v>23</v>
      </c>
      <c r="E25" t="s">
        <v>23</v>
      </c>
      <c r="F25" t="s">
        <v>23</v>
      </c>
      <c r="G25" t="s">
        <v>23</v>
      </c>
      <c r="R25" t="s">
        <v>30</v>
      </c>
      <c r="S25">
        <v>-325</v>
      </c>
      <c r="T25">
        <v>-413</v>
      </c>
      <c r="U25">
        <v>-207</v>
      </c>
      <c r="V25">
        <v>391</v>
      </c>
      <c r="W25">
        <v>110</v>
      </c>
    </row>
    <row r="26" spans="1:23">
      <c r="A26" t="s">
        <v>24</v>
      </c>
      <c r="B26" s="4"/>
      <c r="C26" s="3">
        <v>40067</v>
      </c>
      <c r="D26" s="3">
        <v>39706</v>
      </c>
      <c r="E26" s="3">
        <v>39343</v>
      </c>
      <c r="F26" s="3">
        <v>38978</v>
      </c>
      <c r="G26" s="3">
        <v>38978</v>
      </c>
      <c r="R26" t="s">
        <v>31</v>
      </c>
      <c r="S26" s="4">
        <v>1061</v>
      </c>
      <c r="T26">
        <v>470</v>
      </c>
      <c r="U26">
        <v>437</v>
      </c>
      <c r="V26">
        <v>721</v>
      </c>
      <c r="W26">
        <v>963</v>
      </c>
    </row>
    <row r="27" spans="1:23">
      <c r="A27" t="s">
        <v>25</v>
      </c>
      <c r="B27" s="4"/>
      <c r="C27" s="4" t="s">
        <v>26</v>
      </c>
      <c r="D27" t="s">
        <v>26</v>
      </c>
      <c r="E27" t="s">
        <v>26</v>
      </c>
      <c r="F27" t="s">
        <v>26</v>
      </c>
      <c r="G27" t="s">
        <v>125</v>
      </c>
      <c r="R27" t="s">
        <v>32</v>
      </c>
      <c r="S27">
        <v>-191</v>
      </c>
      <c r="T27">
        <v>119</v>
      </c>
      <c r="U27">
        <v>93</v>
      </c>
      <c r="V27">
        <v>500</v>
      </c>
      <c r="W27">
        <v>673</v>
      </c>
    </row>
    <row r="28" spans="1:23">
      <c r="B28" s="4"/>
      <c r="C28" s="4"/>
      <c r="R28" t="s">
        <v>33</v>
      </c>
      <c r="S28">
        <v>0</v>
      </c>
      <c r="T28">
        <v>0</v>
      </c>
      <c r="U28">
        <v>0</v>
      </c>
      <c r="V28">
        <v>5</v>
      </c>
      <c r="W28">
        <v>20</v>
      </c>
    </row>
    <row r="29" spans="1:23">
      <c r="A29" t="s">
        <v>27</v>
      </c>
      <c r="B29" s="4"/>
      <c r="C29" s="4">
        <v>6134</v>
      </c>
      <c r="D29" s="4">
        <v>8052</v>
      </c>
      <c r="E29" s="4">
        <v>7333</v>
      </c>
      <c r="F29" s="4">
        <v>5580</v>
      </c>
      <c r="G29" s="4">
        <v>5741</v>
      </c>
      <c r="R29" t="s">
        <v>34</v>
      </c>
      <c r="S29" s="4">
        <v>1252</v>
      </c>
      <c r="T29">
        <v>351</v>
      </c>
      <c r="U29">
        <v>344</v>
      </c>
      <c r="V29">
        <v>216</v>
      </c>
      <c r="W29">
        <v>270</v>
      </c>
    </row>
    <row r="30" spans="1:23">
      <c r="A30" t="s">
        <v>28</v>
      </c>
      <c r="B30" s="4"/>
      <c r="C30" s="4">
        <v>1768</v>
      </c>
      <c r="D30" s="4">
        <v>1744</v>
      </c>
      <c r="E30" s="4">
        <v>1413</v>
      </c>
      <c r="F30" s="4">
        <v>1293</v>
      </c>
      <c r="G30" s="4">
        <v>1020</v>
      </c>
      <c r="R30" t="s">
        <v>35</v>
      </c>
      <c r="S30">
        <v>-72</v>
      </c>
      <c r="T30" s="4">
        <v>1507</v>
      </c>
      <c r="U30">
        <v>484</v>
      </c>
      <c r="V30">
        <v>-925</v>
      </c>
      <c r="W30">
        <v>-405</v>
      </c>
    </row>
    <row r="31" spans="1:23">
      <c r="A31" t="s">
        <v>29</v>
      </c>
      <c r="B31" s="4"/>
      <c r="C31" s="4">
        <v>0</v>
      </c>
      <c r="D31">
        <v>0</v>
      </c>
      <c r="E31">
        <v>0</v>
      </c>
      <c r="F31">
        <v>0</v>
      </c>
      <c r="G31">
        <v>0</v>
      </c>
      <c r="R31" t="s">
        <v>6</v>
      </c>
      <c r="S31" s="4">
        <v>1217</v>
      </c>
      <c r="T31">
        <v>-914</v>
      </c>
      <c r="U31">
        <v>-39</v>
      </c>
      <c r="V31">
        <v>-430</v>
      </c>
      <c r="W31">
        <v>30</v>
      </c>
    </row>
    <row r="32" spans="1:23">
      <c r="A32" t="s">
        <v>30</v>
      </c>
      <c r="B32" s="4"/>
      <c r="C32" s="4">
        <v>-574</v>
      </c>
      <c r="D32" s="4">
        <v>-772</v>
      </c>
      <c r="E32" s="4">
        <v>-622</v>
      </c>
      <c r="F32">
        <v>-343</v>
      </c>
      <c r="G32">
        <v>55</v>
      </c>
      <c r="R32" t="s">
        <v>8</v>
      </c>
      <c r="S32" s="4">
        <v>-1116</v>
      </c>
      <c r="T32">
        <v>-500</v>
      </c>
      <c r="U32">
        <v>-101</v>
      </c>
      <c r="V32">
        <v>-245</v>
      </c>
      <c r="W32">
        <v>-26</v>
      </c>
    </row>
    <row r="33" spans="1:23">
      <c r="A33" t="s">
        <v>31</v>
      </c>
      <c r="B33" s="4"/>
      <c r="C33" s="4">
        <v>1406</v>
      </c>
      <c r="D33">
        <v>633</v>
      </c>
      <c r="E33">
        <v>-76</v>
      </c>
      <c r="F33">
        <v>889</v>
      </c>
      <c r="G33" s="4">
        <v>341</v>
      </c>
      <c r="R33" t="s">
        <v>36</v>
      </c>
      <c r="S33">
        <v>324</v>
      </c>
      <c r="T33" s="4">
        <v>1606</v>
      </c>
      <c r="U33">
        <v>-468</v>
      </c>
      <c r="V33">
        <v>-511</v>
      </c>
      <c r="W33">
        <v>-444</v>
      </c>
    </row>
    <row r="34" spans="1:23">
      <c r="A34" t="s">
        <v>32</v>
      </c>
      <c r="B34" s="4">
        <v>80</v>
      </c>
      <c r="C34" s="4">
        <v>-103</v>
      </c>
      <c r="D34">
        <v>-210</v>
      </c>
      <c r="E34">
        <v>-124</v>
      </c>
      <c r="F34">
        <v>-95</v>
      </c>
      <c r="R34" t="s">
        <v>37</v>
      </c>
      <c r="S34">
        <v>7</v>
      </c>
      <c r="T34">
        <v>303</v>
      </c>
      <c r="U34">
        <v>283</v>
      </c>
      <c r="V34">
        <v>116</v>
      </c>
      <c r="W34">
        <v>-226</v>
      </c>
    </row>
    <row r="35" spans="1:23">
      <c r="A35" t="s">
        <v>33</v>
      </c>
      <c r="B35" s="4">
        <v>63</v>
      </c>
      <c r="C35" s="4">
        <v>3</v>
      </c>
      <c r="D35">
        <v>81</v>
      </c>
      <c r="E35">
        <v>91</v>
      </c>
      <c r="F35">
        <v>26</v>
      </c>
      <c r="R35" t="s">
        <v>38</v>
      </c>
      <c r="S35">
        <v>0</v>
      </c>
      <c r="T35">
        <v>296</v>
      </c>
      <c r="U35">
        <v>295</v>
      </c>
      <c r="V35">
        <v>276</v>
      </c>
      <c r="W35">
        <v>107</v>
      </c>
    </row>
    <row r="36" spans="1:23">
      <c r="A36" t="s">
        <v>34</v>
      </c>
      <c r="B36" s="4">
        <v>1263</v>
      </c>
      <c r="C36" s="4">
        <v>733</v>
      </c>
      <c r="D36">
        <v>53</v>
      </c>
      <c r="E36">
        <v>922</v>
      </c>
      <c r="F36">
        <v>410</v>
      </c>
      <c r="R36" t="s">
        <v>39</v>
      </c>
      <c r="S36">
        <v>-60</v>
      </c>
      <c r="T36">
        <v>797</v>
      </c>
      <c r="U36">
        <v>378</v>
      </c>
      <c r="V36">
        <v>-361</v>
      </c>
      <c r="W36">
        <v>175</v>
      </c>
    </row>
    <row r="37" spans="1:23">
      <c r="A37" t="s">
        <v>35</v>
      </c>
      <c r="B37" s="4"/>
      <c r="C37" s="4">
        <v>1163</v>
      </c>
      <c r="D37" s="4">
        <v>2432</v>
      </c>
      <c r="E37" s="4">
        <v>2056</v>
      </c>
      <c r="F37" s="4">
        <v>480</v>
      </c>
      <c r="G37">
        <v>411</v>
      </c>
      <c r="R37" t="s">
        <v>40</v>
      </c>
      <c r="S37">
        <v>-444</v>
      </c>
      <c r="T37">
        <v>-81</v>
      </c>
      <c r="U37">
        <v>136</v>
      </c>
      <c r="V37">
        <v>230</v>
      </c>
      <c r="W37">
        <v>-21</v>
      </c>
    </row>
    <row r="38" spans="1:23">
      <c r="A38" t="s">
        <v>6</v>
      </c>
      <c r="B38" s="4">
        <v>388</v>
      </c>
      <c r="C38" s="4">
        <v>-317</v>
      </c>
      <c r="D38" s="4">
        <v>-753</v>
      </c>
      <c r="E38" s="4">
        <v>-1084</v>
      </c>
      <c r="F38">
        <v>-536</v>
      </c>
      <c r="R38" t="s">
        <v>41</v>
      </c>
      <c r="S38" s="4">
        <v>10620</v>
      </c>
      <c r="T38" s="4">
        <v>14823</v>
      </c>
      <c r="U38" s="4">
        <v>13119</v>
      </c>
      <c r="V38" s="4">
        <v>11515</v>
      </c>
      <c r="W38" s="4">
        <v>9129</v>
      </c>
    </row>
    <row r="39" spans="1:23">
      <c r="A39" t="s">
        <v>8</v>
      </c>
      <c r="B39" s="4">
        <v>187</v>
      </c>
      <c r="C39" s="4">
        <v>104</v>
      </c>
      <c r="D39" s="4">
        <v>61</v>
      </c>
      <c r="E39">
        <v>-41</v>
      </c>
      <c r="F39">
        <v>-305</v>
      </c>
    </row>
    <row r="40" spans="1:23">
      <c r="A40" t="s">
        <v>60</v>
      </c>
      <c r="B40" s="4">
        <v>-780</v>
      </c>
      <c r="C40" s="4">
        <v>-361</v>
      </c>
      <c r="D40">
        <v>-452</v>
      </c>
      <c r="E40">
        <v>-300</v>
      </c>
      <c r="F40">
        <v>-58</v>
      </c>
      <c r="R40" t="s">
        <v>42</v>
      </c>
      <c r="S40" s="4">
        <v>-5779</v>
      </c>
      <c r="T40" s="4">
        <v>-5818</v>
      </c>
      <c r="U40" s="4">
        <v>-3843</v>
      </c>
      <c r="V40" s="4">
        <v>-3656</v>
      </c>
      <c r="W40" s="4">
        <v>-4703</v>
      </c>
    </row>
    <row r="41" spans="1:23">
      <c r="A41" t="s">
        <v>37</v>
      </c>
      <c r="B41" s="4">
        <v>-208</v>
      </c>
      <c r="C41" s="4">
        <v>62</v>
      </c>
      <c r="D41">
        <v>-107</v>
      </c>
      <c r="E41">
        <v>-43</v>
      </c>
      <c r="F41">
        <v>62</v>
      </c>
      <c r="R41" t="s">
        <v>43</v>
      </c>
      <c r="S41" s="4">
        <v>-5779</v>
      </c>
      <c r="T41" s="4">
        <v>-5818</v>
      </c>
      <c r="U41" s="4">
        <v>-3843</v>
      </c>
      <c r="V41" s="4">
        <v>-3656</v>
      </c>
      <c r="W41" s="4">
        <v>-4703</v>
      </c>
    </row>
    <row r="42" spans="1:23">
      <c r="A42" t="s">
        <v>38</v>
      </c>
      <c r="B42" s="4">
        <v>236</v>
      </c>
      <c r="C42" s="4">
        <v>954</v>
      </c>
      <c r="D42">
        <v>910</v>
      </c>
      <c r="E42">
        <v>630</v>
      </c>
      <c r="F42">
        <v>-240</v>
      </c>
      <c r="R42" t="s">
        <v>44</v>
      </c>
      <c r="S42">
        <v>872</v>
      </c>
      <c r="T42">
        <v>-544</v>
      </c>
      <c r="U42" s="4">
        <v>-1189</v>
      </c>
      <c r="V42" s="4">
        <v>-3434</v>
      </c>
      <c r="W42" s="4">
        <v>-1062</v>
      </c>
    </row>
    <row r="43" spans="1:23">
      <c r="A43" t="s">
        <v>39</v>
      </c>
      <c r="B43" s="4">
        <v>768</v>
      </c>
      <c r="C43" s="4">
        <v>178</v>
      </c>
      <c r="D43" s="4">
        <v>1104</v>
      </c>
      <c r="E43">
        <v>743</v>
      </c>
      <c r="F43">
        <v>947</v>
      </c>
      <c r="R43" t="s">
        <v>45</v>
      </c>
      <c r="S43">
        <v>0</v>
      </c>
      <c r="T43">
        <v>-191</v>
      </c>
      <c r="U43">
        <v>-53</v>
      </c>
      <c r="V43">
        <v>-61</v>
      </c>
      <c r="W43">
        <v>-57</v>
      </c>
    </row>
    <row r="44" spans="1:23">
      <c r="A44" t="s">
        <v>355</v>
      </c>
      <c r="B44" s="4">
        <v>572</v>
      </c>
      <c r="C44" s="4">
        <v>1812</v>
      </c>
      <c r="D44" s="4">
        <v>1293</v>
      </c>
      <c r="E44">
        <v>575</v>
      </c>
      <c r="F44">
        <v>541</v>
      </c>
      <c r="R44" t="s">
        <v>46</v>
      </c>
      <c r="S44" s="4">
        <v>7147</v>
      </c>
      <c r="T44" s="4">
        <v>8433</v>
      </c>
      <c r="U44" s="4">
        <v>15633</v>
      </c>
      <c r="V44" s="4">
        <v>8488</v>
      </c>
      <c r="W44" s="4">
        <v>5634</v>
      </c>
    </row>
    <row r="45" spans="1:23">
      <c r="A45" t="s">
        <v>41</v>
      </c>
      <c r="B45" s="4"/>
      <c r="C45" s="4">
        <v>9897</v>
      </c>
      <c r="D45" s="4">
        <v>12089</v>
      </c>
      <c r="E45" s="4">
        <v>10104</v>
      </c>
      <c r="F45" s="4">
        <v>7899</v>
      </c>
      <c r="G45" s="4">
        <v>7568</v>
      </c>
      <c r="R45" t="s">
        <v>47</v>
      </c>
      <c r="S45" s="4">
        <v>-6994</v>
      </c>
      <c r="T45" s="4">
        <v>-8475</v>
      </c>
      <c r="U45" s="4">
        <v>-16618</v>
      </c>
      <c r="V45" s="4">
        <v>-11662</v>
      </c>
      <c r="W45" s="4">
        <v>-6309</v>
      </c>
    </row>
    <row r="46" spans="1:23">
      <c r="B46" s="4"/>
      <c r="C46" s="4"/>
      <c r="D46" s="4"/>
      <c r="E46" s="4"/>
      <c r="F46" s="4"/>
      <c r="G46" s="4"/>
      <c r="R46" t="s">
        <v>48</v>
      </c>
      <c r="S46">
        <v>719</v>
      </c>
      <c r="T46">
        <v>-311</v>
      </c>
      <c r="U46">
        <v>-151</v>
      </c>
      <c r="V46">
        <v>-199</v>
      </c>
      <c r="W46">
        <v>-330</v>
      </c>
    </row>
    <row r="47" spans="1:23">
      <c r="A47" t="s">
        <v>42</v>
      </c>
      <c r="B47" s="4"/>
      <c r="C47" s="4">
        <v>-1005</v>
      </c>
      <c r="D47" s="4">
        <v>-1268</v>
      </c>
      <c r="E47" s="4">
        <v>-1251</v>
      </c>
      <c r="F47">
        <v>-772</v>
      </c>
      <c r="G47">
        <v>-692</v>
      </c>
      <c r="R47" t="s">
        <v>49</v>
      </c>
      <c r="S47" s="4">
        <v>-4907</v>
      </c>
      <c r="T47" s="4">
        <v>-6362</v>
      </c>
      <c r="U47" s="4">
        <v>-5032</v>
      </c>
      <c r="V47" s="4">
        <v>-7090</v>
      </c>
      <c r="W47" s="4">
        <v>-5765</v>
      </c>
    </row>
    <row r="48" spans="1:23">
      <c r="A48" t="s">
        <v>43</v>
      </c>
      <c r="B48" s="4">
        <v>-1005</v>
      </c>
      <c r="C48" s="4">
        <v>-1268</v>
      </c>
      <c r="D48" s="4">
        <v>-1251</v>
      </c>
      <c r="E48">
        <v>-772</v>
      </c>
      <c r="F48">
        <v>-692</v>
      </c>
    </row>
    <row r="49" spans="1:23">
      <c r="A49" t="s">
        <v>44</v>
      </c>
      <c r="B49" s="4"/>
      <c r="C49" s="4">
        <v>-8954</v>
      </c>
      <c r="D49" s="4">
        <v>-2925</v>
      </c>
      <c r="E49" s="4">
        <v>-7091</v>
      </c>
      <c r="F49" s="4">
        <v>-8872</v>
      </c>
      <c r="G49" s="4">
        <v>3306</v>
      </c>
      <c r="R49" t="s">
        <v>50</v>
      </c>
      <c r="S49">
        <v>123</v>
      </c>
      <c r="T49">
        <v>0</v>
      </c>
      <c r="U49">
        <v>0</v>
      </c>
      <c r="V49">
        <v>0</v>
      </c>
      <c r="W49">
        <v>0</v>
      </c>
    </row>
    <row r="50" spans="1:23">
      <c r="A50" t="s">
        <v>45</v>
      </c>
      <c r="B50" s="4">
        <v>-426</v>
      </c>
      <c r="C50" s="4">
        <v>-398</v>
      </c>
      <c r="D50" s="4">
        <v>-3684</v>
      </c>
      <c r="E50" s="4">
        <v>-5424</v>
      </c>
      <c r="F50" s="4">
        <v>-945</v>
      </c>
      <c r="G50" s="4"/>
      <c r="R50" t="s">
        <v>51</v>
      </c>
      <c r="S50">
        <v>123</v>
      </c>
      <c r="T50">
        <v>0</v>
      </c>
      <c r="U50">
        <v>0</v>
      </c>
      <c r="V50">
        <v>0</v>
      </c>
      <c r="W50">
        <v>0</v>
      </c>
    </row>
    <row r="51" spans="1:23">
      <c r="A51" t="s">
        <v>46</v>
      </c>
      <c r="B51" s="4">
        <v>32825</v>
      </c>
      <c r="C51" s="4">
        <v>19990</v>
      </c>
      <c r="D51" s="4">
        <v>17368</v>
      </c>
      <c r="E51" s="4">
        <v>18480</v>
      </c>
      <c r="F51" s="4">
        <v>24630</v>
      </c>
      <c r="R51" t="s">
        <v>52</v>
      </c>
      <c r="S51" s="4">
        <v>-2320</v>
      </c>
      <c r="T51" s="4">
        <v>-1958</v>
      </c>
      <c r="U51" s="4">
        <v>-1022</v>
      </c>
      <c r="V51">
        <v>-524</v>
      </c>
      <c r="W51">
        <v>-533</v>
      </c>
    </row>
    <row r="52" spans="1:23">
      <c r="A52" t="s">
        <v>47</v>
      </c>
      <c r="B52" s="4">
        <v>-41314</v>
      </c>
      <c r="C52" s="4">
        <v>-22500</v>
      </c>
      <c r="D52" s="4">
        <v>-20624</v>
      </c>
      <c r="E52" s="4">
        <v>-21918</v>
      </c>
      <c r="F52" s="4">
        <v>-20485</v>
      </c>
      <c r="R52" t="s">
        <v>53</v>
      </c>
      <c r="S52" s="4">
        <v>-3547</v>
      </c>
      <c r="T52" s="4">
        <v>-9435</v>
      </c>
      <c r="U52" s="4">
        <v>-6622</v>
      </c>
      <c r="V52" s="4">
        <v>-3045</v>
      </c>
      <c r="W52" s="4">
        <v>-3333</v>
      </c>
    </row>
    <row r="53" spans="1:23">
      <c r="A53" t="s">
        <v>48</v>
      </c>
      <c r="B53" s="4">
        <v>-39</v>
      </c>
      <c r="C53" s="4">
        <v>-17</v>
      </c>
      <c r="D53" s="4">
        <v>-151</v>
      </c>
      <c r="E53" s="4">
        <v>-10</v>
      </c>
      <c r="F53" s="4">
        <v>106</v>
      </c>
      <c r="R53" t="s">
        <v>54</v>
      </c>
      <c r="S53">
        <v>-695</v>
      </c>
      <c r="T53" s="4">
        <v>1849</v>
      </c>
      <c r="U53">
        <v>-7</v>
      </c>
      <c r="V53">
        <v>-289</v>
      </c>
      <c r="W53">
        <v>-64</v>
      </c>
    </row>
    <row r="54" spans="1:23">
      <c r="A54" t="s">
        <v>49</v>
      </c>
      <c r="B54" s="4"/>
      <c r="C54" s="4">
        <v>-9959</v>
      </c>
      <c r="D54" s="4">
        <v>-4193</v>
      </c>
      <c r="E54" s="4">
        <v>-8342</v>
      </c>
      <c r="F54" s="4">
        <v>-9644</v>
      </c>
      <c r="G54" s="4">
        <v>2614</v>
      </c>
      <c r="R54" t="s">
        <v>55</v>
      </c>
      <c r="S54" s="4">
        <v>-6439</v>
      </c>
      <c r="T54" s="4">
        <v>-9544</v>
      </c>
      <c r="U54" s="4">
        <v>-7651</v>
      </c>
      <c r="V54" s="4">
        <v>-3858</v>
      </c>
      <c r="W54" s="4">
        <v>-3930</v>
      </c>
    </row>
    <row r="55" spans="1:23">
      <c r="B55" s="4"/>
      <c r="C55" s="4"/>
      <c r="D55" s="4"/>
      <c r="E55" s="4"/>
      <c r="F55" s="4"/>
      <c r="G55" s="4"/>
    </row>
    <row r="56" spans="1:23">
      <c r="A56" t="s">
        <v>50</v>
      </c>
      <c r="B56" s="4"/>
      <c r="C56" s="4">
        <v>-154</v>
      </c>
      <c r="D56">
        <v>891</v>
      </c>
      <c r="E56" s="4">
        <v>1044</v>
      </c>
      <c r="F56">
        <v>432</v>
      </c>
      <c r="G56">
        <v>-14</v>
      </c>
      <c r="R56" t="s">
        <v>56</v>
      </c>
      <c r="S56">
        <v>0</v>
      </c>
      <c r="T56">
        <v>0</v>
      </c>
      <c r="U56">
        <v>0</v>
      </c>
      <c r="V56">
        <v>0</v>
      </c>
      <c r="W56">
        <v>0</v>
      </c>
    </row>
    <row r="57" spans="1:23">
      <c r="A57" t="s">
        <v>51</v>
      </c>
      <c r="B57" s="4">
        <v>-154</v>
      </c>
      <c r="C57" s="4">
        <v>891</v>
      </c>
      <c r="D57" s="4">
        <v>1044</v>
      </c>
      <c r="E57">
        <v>432</v>
      </c>
      <c r="F57">
        <v>-14</v>
      </c>
      <c r="R57" t="s">
        <v>57</v>
      </c>
      <c r="S57">
        <v>-726</v>
      </c>
      <c r="T57" s="4">
        <v>-1083</v>
      </c>
      <c r="U57">
        <v>436</v>
      </c>
      <c r="V57">
        <v>567</v>
      </c>
      <c r="W57">
        <v>-566</v>
      </c>
    </row>
    <row r="58" spans="1:23">
      <c r="A58" t="s">
        <v>52</v>
      </c>
      <c r="B58" s="4"/>
      <c r="C58" s="4">
        <v>0</v>
      </c>
      <c r="D58">
        <v>0</v>
      </c>
      <c r="E58">
        <v>0</v>
      </c>
      <c r="F58">
        <v>0</v>
      </c>
      <c r="G58">
        <v>0</v>
      </c>
    </row>
    <row r="59" spans="1:23">
      <c r="A59" t="s">
        <v>53</v>
      </c>
      <c r="B59" s="4"/>
      <c r="C59" s="4">
        <v>-2748</v>
      </c>
      <c r="D59" s="4">
        <v>-7324</v>
      </c>
      <c r="E59" s="4">
        <v>-2375</v>
      </c>
      <c r="F59" s="4">
        <v>-6613</v>
      </c>
      <c r="G59" s="4">
        <v>-9148</v>
      </c>
    </row>
    <row r="60" spans="1:23">
      <c r="A60" t="s">
        <v>54</v>
      </c>
      <c r="B60" s="4"/>
      <c r="C60" s="4">
        <v>3491</v>
      </c>
      <c r="D60" s="4">
        <v>0</v>
      </c>
      <c r="E60" s="4">
        <v>0</v>
      </c>
      <c r="F60" s="4">
        <v>6481</v>
      </c>
      <c r="G60" s="4">
        <v>0</v>
      </c>
      <c r="R60" t="s">
        <v>58</v>
      </c>
      <c r="S60" s="4">
        <v>7324</v>
      </c>
      <c r="T60" s="4">
        <v>8407</v>
      </c>
      <c r="U60" s="4">
        <v>7971</v>
      </c>
      <c r="V60" s="4">
        <v>7404</v>
      </c>
      <c r="W60" s="4">
        <v>7970</v>
      </c>
    </row>
    <row r="61" spans="1:23">
      <c r="A61" t="s">
        <v>55</v>
      </c>
      <c r="B61" s="4"/>
      <c r="C61" s="4">
        <v>589</v>
      </c>
      <c r="D61" s="4">
        <v>-6433</v>
      </c>
      <c r="E61" s="4">
        <v>-1331</v>
      </c>
      <c r="F61">
        <v>300</v>
      </c>
      <c r="G61" s="4">
        <v>-9162</v>
      </c>
      <c r="R61" t="s">
        <v>59</v>
      </c>
      <c r="S61" s="4">
        <v>6598</v>
      </c>
      <c r="T61" s="4">
        <v>7324</v>
      </c>
      <c r="U61" s="4">
        <v>8407</v>
      </c>
      <c r="V61" s="4">
        <v>7971</v>
      </c>
      <c r="W61" s="4">
        <v>7404</v>
      </c>
    </row>
    <row r="62" spans="1:23">
      <c r="B62" s="4"/>
      <c r="C62" s="4"/>
      <c r="D62" s="4"/>
      <c r="F62" s="4"/>
      <c r="G62" s="4"/>
    </row>
    <row r="63" spans="1:23">
      <c r="A63" t="s">
        <v>56</v>
      </c>
      <c r="B63" s="4"/>
      <c r="C63" s="4">
        <v>0</v>
      </c>
      <c r="D63">
        <v>0</v>
      </c>
      <c r="E63">
        <v>0</v>
      </c>
      <c r="F63">
        <v>0</v>
      </c>
      <c r="G63">
        <v>0</v>
      </c>
    </row>
    <row r="64" spans="1:23">
      <c r="A64" t="s">
        <v>57</v>
      </c>
      <c r="B64" s="4"/>
      <c r="C64" s="4">
        <v>527</v>
      </c>
      <c r="D64" s="4">
        <v>1463</v>
      </c>
      <c r="E64">
        <v>431</v>
      </c>
      <c r="F64" s="4">
        <v>-1445</v>
      </c>
      <c r="G64" s="4">
        <v>1020</v>
      </c>
    </row>
    <row r="65" spans="1:7">
      <c r="B65" s="4"/>
      <c r="C65" s="4"/>
      <c r="E65" s="4"/>
      <c r="F65" s="4"/>
    </row>
    <row r="66" spans="1:7">
      <c r="B66" s="4"/>
      <c r="C66" s="4"/>
    </row>
    <row r="67" spans="1:7">
      <c r="A67" t="s">
        <v>58</v>
      </c>
      <c r="B67" s="4"/>
      <c r="C67" s="4">
        <v>5191</v>
      </c>
      <c r="D67" s="4">
        <v>3728</v>
      </c>
      <c r="E67" s="4">
        <v>3297</v>
      </c>
      <c r="F67" s="4">
        <v>4742</v>
      </c>
      <c r="G67" s="4">
        <v>3722</v>
      </c>
    </row>
    <row r="68" spans="1:7">
      <c r="A68" t="s">
        <v>59</v>
      </c>
      <c r="B68" s="4"/>
      <c r="C68" s="4">
        <v>5718</v>
      </c>
      <c r="D68" s="4">
        <v>5191</v>
      </c>
      <c r="E68" s="4">
        <v>3728</v>
      </c>
      <c r="F68" s="4">
        <v>3297</v>
      </c>
      <c r="G68" s="4">
        <v>4742</v>
      </c>
    </row>
    <row r="69" spans="1:7">
      <c r="A69" t="s">
        <v>262</v>
      </c>
      <c r="C69" s="4"/>
      <c r="D69" s="4"/>
      <c r="E69" s="4"/>
      <c r="F69" s="4"/>
      <c r="G69" s="4"/>
    </row>
    <row r="70" spans="1:7">
      <c r="A70" t="s">
        <v>263</v>
      </c>
      <c r="C70" s="4"/>
    </row>
    <row r="71" spans="1:7">
      <c r="A71" t="s">
        <v>331</v>
      </c>
    </row>
    <row r="72" spans="1:7">
      <c r="C72" s="4"/>
    </row>
  </sheetData>
  <phoneticPr fontId="4" type="noConversion"/>
  <pageMargins left="0.75" right="0.75" top="1" bottom="1" header="0.5" footer="0.5"/>
  <pageSetup orientation="portrait" horizontalDpi="4294967294" verticalDpi="0" r:id="rId1"/>
  <headerFooter alignWithMargins="0"/>
</worksheet>
</file>

<file path=xl/worksheets/sheet9.xml><?xml version="1.0" encoding="utf-8"?>
<worksheet xmlns="http://schemas.openxmlformats.org/spreadsheetml/2006/main" xmlns:r="http://schemas.openxmlformats.org/officeDocument/2006/relationships">
  <sheetPr codeName="Sheet8"/>
  <dimension ref="A1:B19"/>
  <sheetViews>
    <sheetView workbookViewId="0">
      <selection activeCell="A2" sqref="A2"/>
    </sheetView>
  </sheetViews>
  <sheetFormatPr defaultRowHeight="12"/>
  <cols>
    <col min="1" max="1" width="15" customWidth="1"/>
    <col min="2" max="2" width="16" customWidth="1"/>
  </cols>
  <sheetData>
    <row r="1" spans="1:2">
      <c r="A1" s="5" t="str">
        <f>'Quick Analysis'!F2</f>
        <v>CSCO</v>
      </c>
    </row>
    <row r="2" spans="1:2">
      <c r="A2" t="s">
        <v>112</v>
      </c>
      <c r="B2">
        <v>22.94</v>
      </c>
    </row>
    <row r="3" spans="1:2">
      <c r="A3" t="s">
        <v>113</v>
      </c>
      <c r="B3" s="13">
        <v>40091</v>
      </c>
    </row>
    <row r="4" spans="1:2">
      <c r="A4" t="s">
        <v>7</v>
      </c>
      <c r="B4" t="s">
        <v>356</v>
      </c>
    </row>
    <row r="5" spans="1:2">
      <c r="A5" t="s">
        <v>114</v>
      </c>
      <c r="B5">
        <v>22.67</v>
      </c>
    </row>
    <row r="6" spans="1:2">
      <c r="A6" t="s">
        <v>115</v>
      </c>
      <c r="B6">
        <v>22.89</v>
      </c>
    </row>
    <row r="7" spans="1:2">
      <c r="A7" t="s">
        <v>116</v>
      </c>
      <c r="B7" t="s">
        <v>357</v>
      </c>
    </row>
    <row r="8" spans="1:2">
      <c r="A8" t="s">
        <v>117</v>
      </c>
      <c r="B8" t="s">
        <v>358</v>
      </c>
    </row>
    <row r="9" spans="1:2">
      <c r="A9" t="s">
        <v>118</v>
      </c>
      <c r="B9">
        <v>25.19</v>
      </c>
    </row>
    <row r="19" spans="2:2">
      <c r="B19" s="4"/>
    </row>
  </sheetData>
  <phoneticPr fontId="4"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F1DF8F-9C24-4415-98FC-B68ABF0A57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DBC48CE-9974-4B62-9F98-161F316A00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Instructions</vt:lpstr>
      <vt:lpstr>Quick Analysis</vt:lpstr>
      <vt:lpstr>Data</vt:lpstr>
      <vt:lpstr>Peer companies</vt:lpstr>
      <vt:lpstr>Co description</vt:lpstr>
      <vt:lpstr>5 year ACE</vt:lpstr>
      <vt:lpstr>10 year data</vt:lpstr>
      <vt:lpstr>Cashflow</vt:lpstr>
      <vt:lpstr>Price</vt:lpstr>
      <vt:lpstr>Company name</vt:lpstr>
      <vt:lpstr>Income</vt:lpstr>
      <vt:lpstr>Balance Sheet</vt:lpstr>
      <vt:lpstr>'10 year data'!_10_year_annual_data_1</vt:lpstr>
      <vt:lpstr>'5 year ACE'!_5_year_ace_2</vt:lpstr>
      <vt:lpstr>'Balance Sheet'!balance_sheet</vt:lpstr>
      <vt:lpstr>'Co description'!Company_description</vt:lpstr>
      <vt:lpstr>Cashflow!MSN_Cashflow</vt:lpstr>
      <vt:lpstr>Income!msn_income_statement</vt:lpstr>
      <vt:lpstr>'Company name'!msn_Price_and_Company_name3_08</vt:lpstr>
      <vt:lpstr>'Quick Analysis'!Print_Area</vt:lpstr>
      <vt:lpstr>'Peer companies'!yahoo_competitors_quick_analysis</vt:lpstr>
      <vt:lpstr>Price!Yahoo_price___date_1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Report Analysis</dc:title>
  <dc:subject>Annual Report</dc:subject>
  <dc:creator>Bob Adams</dc:creator>
  <dc:description>Adds Gross Margin for last two years</dc:description>
  <cp:lastModifiedBy>T-Williams</cp:lastModifiedBy>
  <cp:lastPrinted>2009-02-22T05:45:34Z</cp:lastPrinted>
  <dcterms:created xsi:type="dcterms:W3CDTF">1999-05-06T22:50:29Z</dcterms:created>
  <dcterms:modified xsi:type="dcterms:W3CDTF">2009-10-07T08:07:21Z</dcterms:modified>
</cp:coreProperties>
</file>