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 Analysis" sheetId="1" r:id="rId4"/>
    <sheet state="visible" name="PurchaseCalcs" sheetId="2" r:id="rId5"/>
    <sheet state="visible" name="Manifest" sheetId="3" r:id="rId6"/>
    <sheet state="visible" name="SoldStocks" sheetId="4" r:id="rId7"/>
    <sheet state="visible" name="Summary" sheetId="5" r:id="rId8"/>
  </sheets>
  <definedNames/>
  <calcPr/>
</workbook>
</file>

<file path=xl/sharedStrings.xml><?xml version="1.0" encoding="utf-8"?>
<sst xmlns="http://schemas.openxmlformats.org/spreadsheetml/2006/main" count="249" uniqueCount="126">
  <si>
    <t xml:space="preserve"> </t>
  </si>
  <si>
    <t>NOTE: The original version of this spreadsheet uses GOOGLEFINANCE calls to get stock prices. This copy has been edited to show the price on the date shown.</t>
  </si>
  <si>
    <t>Example:</t>
  </si>
  <si>
    <t>Typing "=GOOGLEFINANCE("SPY", "price")" in a Googlesheet cell will return the latest price of the indicated stock symbol.</t>
  </si>
  <si>
    <t>Date:</t>
  </si>
  <si>
    <t>SPY Price</t>
  </si>
  <si>
    <t>Dividends Not Considered</t>
  </si>
  <si>
    <t>Stock Ticker</t>
  </si>
  <si>
    <t>Purchase Date</t>
  </si>
  <si>
    <t>Purchase Date SPY</t>
  </si>
  <si>
    <t>Stock Buy Price</t>
  </si>
  <si>
    <t>Stock Current Price</t>
  </si>
  <si>
    <t>SPY CAR</t>
  </si>
  <si>
    <t>Stock CAR</t>
  </si>
  <si>
    <t>SPY Total Return</t>
  </si>
  <si>
    <t>Stock Total Return</t>
  </si>
  <si>
    <r>
      <rPr>
        <rFont val="Arial"/>
        <b/>
        <color theme="1"/>
        <sz val="12.0"/>
      </rPr>
      <t xml:space="preserve">Total Over / </t>
    </r>
    <r>
      <rPr>
        <rFont val="Arial"/>
        <b/>
        <color rgb="FFC00000"/>
        <sz val="12.0"/>
      </rPr>
      <t>Under</t>
    </r>
  </si>
  <si>
    <t>Stocks Weighted Avg Rtn</t>
  </si>
  <si>
    <t>SPY Weighted Avg Rtn</t>
  </si>
  <si>
    <t>Shs</t>
  </si>
  <si>
    <t>Cost Basis</t>
  </si>
  <si>
    <t>Current Value</t>
  </si>
  <si>
    <t>Purch SPY Weight</t>
  </si>
  <si>
    <t>Current SPY Weight</t>
  </si>
  <si>
    <t># of Periods</t>
  </si>
  <si>
    <t>Total Stock Cost Basis</t>
  </si>
  <si>
    <t>Total Stock Current Value</t>
  </si>
  <si>
    <t>Total SPY Cost Basis</t>
  </si>
  <si>
    <t>Total SPY Current Value</t>
  </si>
  <si>
    <t>CBOE</t>
  </si>
  <si>
    <t>DG</t>
  </si>
  <si>
    <t>DHI</t>
  </si>
  <si>
    <t>FSFG</t>
  </si>
  <si>
    <t>GOOG</t>
  </si>
  <si>
    <t>GOOGL</t>
  </si>
  <si>
    <t>HLI</t>
  </si>
  <si>
    <t>ITIC</t>
  </si>
  <si>
    <t>MBUU</t>
  </si>
  <si>
    <t>MIDD</t>
  </si>
  <si>
    <t>MKSI</t>
  </si>
  <si>
    <t>MNST</t>
  </si>
  <si>
    <t>NFLX</t>
  </si>
  <si>
    <t>SEIC</t>
  </si>
  <si>
    <t>TSCO</t>
  </si>
  <si>
    <t>V</t>
  </si>
  <si>
    <t>YETI</t>
  </si>
  <si>
    <t>(If the cells above are green, the numbers check out!)</t>
  </si>
  <si>
    <t>SPY closing prices available on BigCharts.com Historic Quotes.</t>
  </si>
  <si>
    <t># of Shares</t>
  </si>
  <si>
    <r>
      <rPr>
        <rFont val="Calibri"/>
        <b/>
        <color theme="1"/>
        <sz val="18.0"/>
      </rPr>
      <t xml:space="preserve">Out / </t>
    </r>
    <r>
      <rPr>
        <rFont val="Calibri"/>
        <b/>
        <color rgb="FFFF0000"/>
        <sz val="18.0"/>
      </rPr>
      <t>Under</t>
    </r>
    <r>
      <rPr>
        <rFont val="Calibri"/>
        <b/>
        <color theme="1"/>
        <sz val="18.0"/>
      </rPr>
      <t xml:space="preserve"> Perform</t>
    </r>
  </si>
  <si>
    <t>Div. Yield</t>
  </si>
  <si>
    <r>
      <rPr>
        <rFont val="Calibri"/>
        <b/>
        <color theme="1"/>
        <sz val="18.0"/>
      </rPr>
      <t xml:space="preserve">Yield + Out / </t>
    </r>
    <r>
      <rPr>
        <rFont val="Calibri"/>
        <b/>
        <color rgb="FFFF0000"/>
        <sz val="18.0"/>
      </rPr>
      <t>Under</t>
    </r>
    <r>
      <rPr>
        <rFont val="Calibri"/>
        <b/>
        <color theme="1"/>
        <sz val="18.0"/>
      </rPr>
      <t xml:space="preserve"> Perform</t>
    </r>
  </si>
  <si>
    <t>% Portfolio</t>
  </si>
  <si>
    <t>% Holdings</t>
  </si>
  <si>
    <t>Annual Dividend (per sh)</t>
  </si>
  <si>
    <t>PORTFOLIO</t>
  </si>
  <si>
    <t xml:space="preserve">Port. Value: </t>
  </si>
  <si>
    <t>Cash:</t>
  </si>
  <si>
    <t>Total Value:</t>
  </si>
  <si>
    <t>REMEMBER TO WORK ON MONTHLY PURCHASES AND SALES TO UPDATE</t>
  </si>
  <si>
    <t>Stocks to Sell</t>
  </si>
  <si>
    <t>Shares</t>
  </si>
  <si>
    <t>Sell Price</t>
  </si>
  <si>
    <t>Value</t>
  </si>
  <si>
    <t>Percent</t>
  </si>
  <si>
    <t>Stocks to hold</t>
  </si>
  <si>
    <t>Price</t>
  </si>
  <si>
    <t>Stocks to Buy</t>
  </si>
  <si>
    <t>total</t>
  </si>
  <si>
    <t>FLT</t>
  </si>
  <si>
    <t>REGN</t>
  </si>
  <si>
    <t>Cash</t>
  </si>
  <si>
    <t>total purchase</t>
  </si>
  <si>
    <t>Cash to Invest</t>
  </si>
  <si>
    <t>difference</t>
  </si>
  <si>
    <t>Portfolio to be held</t>
  </si>
  <si>
    <t>Portfolio to be sold</t>
  </si>
  <si>
    <t>Total Portfolio</t>
  </si>
  <si>
    <t>Company</t>
  </si>
  <si>
    <t>Symbol</t>
  </si>
  <si>
    <t>% of Total</t>
  </si>
  <si>
    <t>Growth</t>
  </si>
  <si>
    <t>Proj P/E</t>
  </si>
  <si>
    <t>Proj Yield</t>
  </si>
  <si>
    <t>Fin Str</t>
  </si>
  <si>
    <t>EPS Stab</t>
  </si>
  <si>
    <t>Qlty</t>
  </si>
  <si>
    <t>PAR</t>
  </si>
  <si>
    <t>AAA</t>
  </si>
  <si>
    <t>CBOE Global Markets</t>
  </si>
  <si>
    <t>Dollar General</t>
  </si>
  <si>
    <t>Horton, DR</t>
  </si>
  <si>
    <t>Essent Group*</t>
  </si>
  <si>
    <t>ESNT</t>
  </si>
  <si>
    <t>FleetCor Technologies</t>
  </si>
  <si>
    <t>First Savings Financial*</t>
  </si>
  <si>
    <t>Alphabet (Google)</t>
  </si>
  <si>
    <t>Intelligent Systems*</t>
  </si>
  <si>
    <t>INS</t>
  </si>
  <si>
    <t>Middleby</t>
  </si>
  <si>
    <t>Regeneron Pharma</t>
  </si>
  <si>
    <t>Sprouts Farmers Market</t>
  </si>
  <si>
    <t>SFM</t>
  </si>
  <si>
    <t>Superior Group*</t>
  </si>
  <si>
    <t>SGC</t>
  </si>
  <si>
    <t>Tractor Supply</t>
  </si>
  <si>
    <t>Ulta Beauty</t>
  </si>
  <si>
    <t>ULTA</t>
  </si>
  <si>
    <t>Visa Inc.</t>
  </si>
  <si>
    <t>Z</t>
  </si>
  <si>
    <t>Averages</t>
  </si>
  <si>
    <t>Sold Date</t>
  </si>
  <si>
    <t>Stock Sell  Price</t>
  </si>
  <si>
    <r>
      <rPr>
        <rFont val="Arial"/>
        <b/>
        <color theme="1"/>
        <sz val="12.0"/>
      </rPr>
      <t xml:space="preserve">Total Over / </t>
    </r>
    <r>
      <rPr>
        <rFont val="Arial"/>
        <b/>
        <color rgb="FFC00000"/>
        <sz val="12.0"/>
      </rPr>
      <t>Under</t>
    </r>
  </si>
  <si>
    <t>Sold For</t>
  </si>
  <si>
    <t>Total Sold For</t>
  </si>
  <si>
    <t>CCRD</t>
  </si>
  <si>
    <t>SWKS</t>
  </si>
  <si>
    <t>If Still Held</t>
  </si>
  <si>
    <t>Ticker</t>
  </si>
  <si>
    <t>Date Sold</t>
  </si>
  <si>
    <t>Profit(Loss)</t>
  </si>
  <si>
    <t>Difference</t>
  </si>
  <si>
    <r>
      <rPr>
        <rFont val="Calibri"/>
        <b/>
        <color theme="1"/>
        <sz val="18.0"/>
      </rPr>
      <t xml:space="preserve">Out / </t>
    </r>
    <r>
      <rPr>
        <rFont val="Calibri"/>
        <b/>
        <color rgb="FFFF0000"/>
        <sz val="18.0"/>
      </rPr>
      <t>Under</t>
    </r>
    <r>
      <rPr>
        <rFont val="Calibri"/>
        <b/>
        <color theme="1"/>
        <sz val="18.0"/>
      </rPr>
      <t xml:space="preserve"> Perform</t>
    </r>
  </si>
  <si>
    <r>
      <rPr>
        <rFont val="Calibri"/>
        <b/>
        <color theme="1"/>
        <sz val="18.0"/>
      </rPr>
      <t xml:space="preserve">Yield + Out / </t>
    </r>
    <r>
      <rPr>
        <rFont val="Calibri"/>
        <b/>
        <color rgb="FFFF0000"/>
        <sz val="18.0"/>
      </rPr>
      <t>Under</t>
    </r>
    <r>
      <rPr>
        <rFont val="Calibri"/>
        <b/>
        <color theme="1"/>
        <sz val="18.0"/>
      </rPr>
      <t xml:space="preserve"> Perform</t>
    </r>
  </si>
  <si>
    <t>Est. Total Annual Div.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</si>
</sst>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/d/yyyy"/>
    <numFmt numFmtId="165" formatCode="&quot;$&quot;#,##0.00_);[Red]\(&quot;$&quot;#,##0.00\)"/>
    <numFmt numFmtId="166" formatCode="0.0%"/>
    <numFmt numFmtId="167" formatCode="#,##0;[Red]#,##0"/>
    <numFmt numFmtId="168" formatCode="0.000"/>
    <numFmt numFmtId="169" formatCode="&quot;$&quot;#,##0.00"/>
    <numFmt numFmtId="170" formatCode="m/d/yy"/>
    <numFmt numFmtId="171" formatCode="_(&quot;$&quot;* #,##0.00_);_(&quot;$&quot;* \(#,##0.00\);_(&quot;$&quot;* &quot;-&quot;??_);_(@_)"/>
  </numFmts>
  <fonts count="36">
    <font>
      <sz val="12.0"/>
      <color theme="1"/>
      <name val="Calibri"/>
      <scheme val="minor"/>
    </font>
    <font>
      <sz val="12.0"/>
      <color theme="1"/>
      <name val="Arial"/>
    </font>
    <font>
      <color theme="1"/>
      <name val="Calibri"/>
      <scheme val="minor"/>
    </font>
    <font>
      <i/>
      <sz val="14.0"/>
      <color theme="1"/>
      <name val="Calibri"/>
      <scheme val="minor"/>
    </font>
    <font>
      <i/>
      <sz val="14.0"/>
      <color rgb="FF000000"/>
      <name val="Inconsolata"/>
    </font>
    <font>
      <b/>
      <sz val="12.0"/>
      <color rgb="FF0070C0"/>
      <name val="Arial"/>
    </font>
    <font>
      <b/>
      <sz val="12.0"/>
      <color theme="1"/>
      <name val="Arial"/>
    </font>
    <font/>
    <font>
      <sz val="12.0"/>
      <color rgb="FF000000"/>
      <name val="Arial"/>
    </font>
    <font>
      <sz val="12.0"/>
      <color theme="1"/>
      <name val="Calibri"/>
    </font>
    <font>
      <sz val="18.0"/>
      <color theme="1"/>
      <name val="Arial"/>
    </font>
    <font>
      <sz val="18.0"/>
      <color theme="1"/>
      <name val="Calibri"/>
    </font>
    <font>
      <sz val="18.0"/>
      <color theme="1"/>
      <name val="Calibri"/>
      <scheme val="minor"/>
    </font>
    <font>
      <b/>
      <sz val="18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b/>
      <sz val="18.0"/>
      <color theme="1"/>
      <name val="Arial"/>
    </font>
    <font>
      <sz val="12.0"/>
      <color rgb="FFFFE598"/>
      <name val="Calibri"/>
    </font>
    <font>
      <sz val="18.0"/>
      <color theme="1"/>
      <name val="Arial Black"/>
    </font>
    <font>
      <sz val="12.0"/>
      <color rgb="FFFF0000"/>
      <name val="Arial"/>
    </font>
    <font>
      <sz val="14.0"/>
      <color theme="1"/>
      <name val="Calibri"/>
      <scheme val="minor"/>
    </font>
    <font>
      <b/>
      <sz val="14.0"/>
      <color theme="1"/>
      <name val="Arial"/>
    </font>
    <font>
      <sz val="14.0"/>
      <color theme="1"/>
      <name val="Arial"/>
    </font>
    <font>
      <b/>
      <sz val="12.0"/>
      <color rgb="FF333333"/>
      <name val="Helvetica Neue"/>
    </font>
    <font>
      <sz val="8.0"/>
      <color rgb="FF333333"/>
      <name val="Helvetica Neue"/>
    </font>
    <font>
      <sz val="12.0"/>
      <color rgb="FF333333"/>
      <name val="Helvetica Neue"/>
    </font>
    <font>
      <u/>
      <sz val="12.0"/>
      <color theme="10"/>
      <name val="Calibri"/>
    </font>
    <font>
      <b/>
      <sz val="12.0"/>
      <color rgb="FF3333FF"/>
      <name val="Helvetica Neue"/>
    </font>
    <font>
      <b/>
      <sz val="12.0"/>
      <color rgb="FF009900"/>
      <name val="Helvetica Neue"/>
    </font>
    <font>
      <sz val="12.0"/>
      <color rgb="FF009900"/>
      <name val="Helvetica Neue"/>
    </font>
    <font>
      <sz val="8.0"/>
      <color theme="1"/>
      <name val="Calibri"/>
    </font>
    <font>
      <sz val="14.0"/>
      <color theme="1"/>
      <name val="Calibri"/>
    </font>
    <font>
      <sz val="10.0"/>
      <color rgb="FF000000"/>
      <name val="Arial"/>
    </font>
    <font>
      <b/>
      <color theme="1"/>
      <name val="Calibri"/>
      <scheme val="minor"/>
    </font>
    <font>
      <b/>
      <sz val="18.0"/>
      <color theme="1"/>
      <name val="Calibri"/>
      <scheme val="minor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</fills>
  <borders count="3">
    <border/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3" numFmtId="0" xfId="0" applyAlignment="1" applyFont="1">
      <alignment readingOrder="0"/>
    </xf>
    <xf borderId="0" fillId="2" fontId="4" numFmtId="0" xfId="0" applyAlignment="1" applyFill="1" applyFont="1">
      <alignment readingOrder="0"/>
    </xf>
    <xf borderId="0" fillId="0" fontId="5" numFmtId="164" xfId="0" applyAlignment="1" applyFont="1" applyNumberFormat="1">
      <alignment readingOrder="0"/>
    </xf>
    <xf borderId="0" fillId="0" fontId="5" numFmtId="165" xfId="0" applyFont="1" applyNumberFormat="1"/>
    <xf borderId="1" fillId="0" fontId="6" numFmtId="0" xfId="0" applyAlignment="1" applyBorder="1" applyFont="1">
      <alignment horizontal="center"/>
    </xf>
    <xf borderId="1" fillId="0" fontId="7" numFmtId="0" xfId="0" applyBorder="1" applyFont="1"/>
    <xf borderId="1" fillId="0" fontId="6" numFmtId="0" xfId="0" applyAlignment="1" applyBorder="1" applyFont="1">
      <alignment horizontal="center" shrinkToFit="0" wrapText="1"/>
    </xf>
    <xf borderId="1" fillId="0" fontId="6" numFmtId="164" xfId="0" applyAlignment="1" applyBorder="1" applyFont="1" applyNumberForma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0" fillId="0" fontId="8" numFmtId="0" xfId="0" applyFont="1"/>
    <xf borderId="0" fillId="0" fontId="8" numFmtId="164" xfId="0" applyFont="1" applyNumberFormat="1"/>
    <xf borderId="0" fillId="0" fontId="9" numFmtId="2" xfId="0" applyFont="1" applyNumberFormat="1"/>
    <xf borderId="0" fillId="0" fontId="8" numFmtId="2" xfId="0" applyFont="1" applyNumberFormat="1"/>
    <xf borderId="0" fillId="0" fontId="9" numFmtId="166" xfId="0" applyFont="1" applyNumberFormat="1"/>
    <xf borderId="0" fillId="0" fontId="1" numFmtId="166" xfId="0" applyFont="1" applyNumberFormat="1"/>
    <xf borderId="0" fillId="0" fontId="1" numFmtId="167" xfId="0" applyFont="1" applyNumberFormat="1"/>
    <xf borderId="0" fillId="0" fontId="1" numFmtId="164" xfId="0" applyFont="1" applyNumberFormat="1"/>
    <xf borderId="0" fillId="0" fontId="1" numFmtId="2" xfId="0" applyFont="1" applyNumberFormat="1"/>
    <xf borderId="0" fillId="0" fontId="8" numFmtId="14" xfId="0" applyFont="1" applyNumberFormat="1"/>
    <xf borderId="0" fillId="0" fontId="8" numFmtId="166" xfId="0" applyFont="1" applyNumberFormat="1"/>
    <xf borderId="0" fillId="0" fontId="8" numFmtId="0" xfId="0" applyAlignment="1" applyFont="1">
      <alignment readingOrder="0"/>
    </xf>
    <xf borderId="0" fillId="0" fontId="8" numFmtId="164" xfId="0" applyAlignment="1" applyFont="1" applyNumberFormat="1">
      <alignment readingOrder="0"/>
    </xf>
    <xf borderId="0" fillId="0" fontId="1" numFmtId="2" xfId="0" applyAlignment="1" applyFont="1" applyNumberFormat="1">
      <alignment readingOrder="0"/>
    </xf>
    <xf borderId="0" fillId="0" fontId="8" numFmtId="2" xfId="0" applyAlignment="1" applyFont="1" applyNumberFormat="1">
      <alignment readingOrder="0"/>
    </xf>
    <xf borderId="0" fillId="0" fontId="9" numFmtId="14" xfId="0" applyFont="1" applyNumberFormat="1"/>
    <xf borderId="0" fillId="0" fontId="9" numFmtId="14" xfId="0" applyAlignment="1" applyFont="1" applyNumberFormat="1">
      <alignment readingOrder="0"/>
    </xf>
    <xf borderId="0" fillId="0" fontId="9" numFmtId="164" xfId="0" applyFont="1" applyNumberFormat="1"/>
    <xf borderId="0" fillId="0" fontId="1" numFmtId="0" xfId="0" applyAlignment="1" applyFont="1">
      <alignment horizontal="right"/>
    </xf>
    <xf borderId="0" fillId="0" fontId="2" numFmtId="0" xfId="0" applyFont="1"/>
    <xf borderId="0" fillId="0" fontId="10" numFmtId="0" xfId="0" applyFont="1"/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Font="1" applyNumberFormat="1"/>
    <xf borderId="0" fillId="0" fontId="11" numFmtId="0" xfId="0" applyFont="1"/>
    <xf borderId="0" fillId="0" fontId="12" numFmtId="0" xfId="0" applyFont="1"/>
    <xf borderId="1" fillId="0" fontId="13" numFmtId="0" xfId="0" applyAlignment="1" applyBorder="1" applyFont="1">
      <alignment horizontal="center" shrinkToFit="0" wrapText="1"/>
    </xf>
    <xf borderId="1" fillId="0" fontId="13" numFmtId="164" xfId="0" applyAlignment="1" applyBorder="1" applyFont="1" applyNumberFormat="1">
      <alignment horizontal="center" shrinkToFit="0" wrapText="1"/>
    </xf>
    <xf borderId="0" fillId="0" fontId="13" numFmtId="0" xfId="0" applyFont="1"/>
    <xf borderId="0" fillId="0" fontId="13" numFmtId="0" xfId="0" applyAlignment="1" applyFont="1">
      <alignment readingOrder="0"/>
    </xf>
    <xf borderId="0" fillId="0" fontId="14" numFmtId="0" xfId="0" applyFont="1"/>
    <xf borderId="0" fillId="0" fontId="15" numFmtId="0" xfId="0" applyAlignment="1" applyFont="1">
      <alignment horizontal="center" readingOrder="0" shrinkToFit="0" wrapText="1"/>
    </xf>
    <xf borderId="0" fillId="0" fontId="16" numFmtId="0" xfId="0" applyFont="1"/>
    <xf borderId="0" fillId="0" fontId="10" numFmtId="168" xfId="0" applyFont="1" applyNumberFormat="1"/>
    <xf borderId="0" fillId="0" fontId="10" numFmtId="166" xfId="0" applyFont="1" applyNumberFormat="1"/>
    <xf borderId="0" fillId="0" fontId="10" numFmtId="166" xfId="0" applyAlignment="1" applyFont="1" applyNumberFormat="1">
      <alignment readingOrder="0"/>
    </xf>
    <xf borderId="0" fillId="0" fontId="17" numFmtId="168" xfId="0" applyFont="1" applyNumberFormat="1"/>
    <xf borderId="0" fillId="0" fontId="11" numFmtId="166" xfId="0" applyAlignment="1" applyFont="1" applyNumberFormat="1">
      <alignment horizontal="center" vertical="center"/>
    </xf>
    <xf borderId="0" fillId="0" fontId="16" numFmtId="0" xfId="0" applyAlignment="1" applyFont="1">
      <alignment readingOrder="0"/>
    </xf>
    <xf borderId="2" fillId="3" fontId="10" numFmtId="166" xfId="0" applyBorder="1" applyFill="1" applyFont="1" applyNumberFormat="1"/>
    <xf borderId="0" fillId="0" fontId="10" numFmtId="1" xfId="0" applyFont="1" applyNumberFormat="1"/>
    <xf borderId="0" fillId="0" fontId="18" numFmtId="0" xfId="0" applyAlignment="1" applyFont="1">
      <alignment horizontal="right" shrinkToFit="0" wrapText="1"/>
    </xf>
    <xf borderId="0" fillId="0" fontId="18" numFmtId="169" xfId="0" applyAlignment="1" applyFont="1" applyNumberFormat="1">
      <alignment horizontal="right" vertical="center"/>
    </xf>
    <xf borderId="0" fillId="0" fontId="12" numFmtId="10" xfId="0" applyFont="1" applyNumberFormat="1"/>
    <xf borderId="0" fillId="0" fontId="11" numFmtId="10" xfId="0" applyAlignment="1" applyFont="1" applyNumberFormat="1">
      <alignment readingOrder="0"/>
    </xf>
    <xf borderId="0" fillId="0" fontId="18" numFmtId="169" xfId="0" applyAlignment="1" applyFont="1" applyNumberFormat="1">
      <alignment horizontal="right" readingOrder="0"/>
    </xf>
    <xf borderId="0" fillId="0" fontId="12" numFmtId="166" xfId="0" applyFont="1" applyNumberFormat="1"/>
    <xf borderId="0" fillId="0" fontId="1" numFmtId="1" xfId="0" applyFont="1" applyNumberFormat="1"/>
    <xf borderId="0" fillId="0" fontId="19" numFmtId="0" xfId="0" applyFont="1"/>
    <xf borderId="0" fillId="0" fontId="20" numFmtId="0" xfId="0" applyAlignment="1" applyFont="1">
      <alignment readingOrder="0"/>
    </xf>
    <xf borderId="0" fillId="0" fontId="21" numFmtId="0" xfId="0" applyFont="1"/>
    <xf borderId="0" fillId="0" fontId="22" numFmtId="1" xfId="0" applyFont="1" applyNumberFormat="1"/>
    <xf borderId="0" fillId="0" fontId="20" numFmtId="0" xfId="0" applyFont="1"/>
    <xf borderId="0" fillId="0" fontId="20" numFmtId="10" xfId="0" applyFont="1" applyNumberFormat="1"/>
    <xf borderId="0" fillId="0" fontId="20" numFmtId="169" xfId="0" applyFont="1" applyNumberFormat="1"/>
    <xf borderId="0" fillId="0" fontId="20" numFmtId="0" xfId="0" applyAlignment="1" applyFont="1">
      <alignment horizontal="right" readingOrder="0"/>
    </xf>
    <xf borderId="0" fillId="0" fontId="23" numFmtId="0" xfId="0" applyFont="1"/>
    <xf borderId="0" fillId="0" fontId="24" numFmtId="0" xfId="0" applyAlignment="1" applyFont="1">
      <alignment vertical="center"/>
    </xf>
    <xf borderId="0" fillId="0" fontId="25" numFmtId="0" xfId="0" applyFont="1"/>
    <xf borderId="0" fillId="0" fontId="26" numFmtId="0" xfId="0" applyFont="1"/>
    <xf borderId="0" fillId="0" fontId="25" numFmtId="165" xfId="0" applyFont="1" applyNumberFormat="1"/>
    <xf borderId="0" fillId="0" fontId="25" numFmtId="10" xfId="0" applyFont="1" applyNumberFormat="1"/>
    <xf borderId="0" fillId="0" fontId="25" numFmtId="9" xfId="0" applyFont="1" applyNumberFormat="1"/>
    <xf borderId="0" fillId="0" fontId="27" numFmtId="0" xfId="0" applyFont="1"/>
    <xf borderId="0" fillId="0" fontId="28" numFmtId="10" xfId="0" applyFont="1" applyNumberFormat="1"/>
    <xf borderId="0" fillId="0" fontId="29" numFmtId="0" xfId="0" applyFont="1"/>
    <xf borderId="0" fillId="0" fontId="30" numFmtId="0" xfId="0" applyAlignment="1" applyFont="1">
      <alignment vertical="center"/>
    </xf>
    <xf borderId="0" fillId="0" fontId="9" numFmtId="165" xfId="0" applyFont="1" applyNumberFormat="1"/>
    <xf borderId="0" fillId="0" fontId="5" numFmtId="164" xfId="0" applyFont="1" applyNumberFormat="1"/>
    <xf borderId="1" fillId="0" fontId="6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31" numFmtId="2" xfId="0" applyFont="1" applyNumberFormat="1"/>
    <xf borderId="0" fillId="0" fontId="32" numFmtId="0" xfId="0" applyFont="1"/>
    <xf borderId="0" fillId="0" fontId="8" numFmtId="170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33" numFmtId="0" xfId="0" applyAlignment="1" applyFont="1">
      <alignment horizontal="center"/>
    </xf>
    <xf borderId="0" fillId="0" fontId="33" numFmtId="0" xfId="0" applyAlignment="1" applyFont="1">
      <alignment horizontal="center" readingOrder="0"/>
    </xf>
    <xf borderId="0" fillId="0" fontId="2" numFmtId="2" xfId="0" applyFont="1" applyNumberFormat="1"/>
    <xf borderId="0" fillId="0" fontId="1" numFmtId="171" xfId="0" applyFont="1" applyNumberFormat="1"/>
    <xf borderId="0" fillId="0" fontId="2" numFmtId="171" xfId="0" applyFont="1" applyNumberFormat="1"/>
    <xf borderId="0" fillId="0" fontId="13" numFmtId="0" xfId="0" applyAlignment="1" applyFont="1">
      <alignment horizontal="center" readingOrder="0" shrinkToFit="0" wrapText="1"/>
    </xf>
    <xf borderId="0" fillId="0" fontId="34" numFmtId="0" xfId="0" applyAlignment="1" applyFont="1">
      <alignment horizontal="center" readingOrder="0" shrinkToFit="0" wrapText="1"/>
    </xf>
    <xf borderId="0" fillId="0" fontId="12" numFmtId="169" xfId="0" applyAlignment="1" applyFont="1" applyNumberFormat="1">
      <alignment readingOrder="0"/>
    </xf>
    <xf borderId="0" fillId="0" fontId="12" numFmtId="169" xfId="0" applyFont="1" applyNumberFormat="1"/>
    <xf borderId="0" fillId="0" fontId="17" numFmtId="168" xfId="0" applyAlignment="1" applyFont="1" applyNumberFormat="1">
      <alignment readingOrder="0"/>
    </xf>
    <xf borderId="0" fillId="0" fontId="12" numFmtId="0" xfId="0" applyAlignment="1" applyFont="1">
      <alignment readingOrder="0"/>
    </xf>
    <xf borderId="0" fillId="0" fontId="35" numFmtId="0" xfId="0" applyFont="1"/>
    <xf borderId="0" fillId="0" fontId="10" numFmtId="10" xfId="0" applyFont="1" applyNumberFormat="1"/>
    <xf borderId="0" fillId="0" fontId="10" numFmtId="10" xfId="0" applyAlignment="1" applyFont="1" applyNumberFormat="1">
      <alignment readingOrder="0"/>
    </xf>
  </cellXfs>
  <cellStyles count="1">
    <cellStyle xfId="0" name="Normal" builtinId="0"/>
  </cellStyles>
  <dxfs count="4">
    <dxf>
      <font>
        <color rgb="FF9C0006"/>
      </font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manifestinvesting.com/companies/regn" TargetMode="External"/><Relationship Id="rId10" Type="http://schemas.openxmlformats.org/officeDocument/2006/relationships/hyperlink" Target="https://www.manifestinvesting.com/companies/midd" TargetMode="External"/><Relationship Id="rId13" Type="http://schemas.openxmlformats.org/officeDocument/2006/relationships/hyperlink" Target="https://www.manifestinvesting.com/companies/sgc" TargetMode="External"/><Relationship Id="rId12" Type="http://schemas.openxmlformats.org/officeDocument/2006/relationships/hyperlink" Target="https://www.manifestinvesting.com/companies/sfm" TargetMode="External"/><Relationship Id="rId1" Type="http://schemas.openxmlformats.org/officeDocument/2006/relationships/hyperlink" Target="https://www.manifestinvesting.com/companies/cboe" TargetMode="External"/><Relationship Id="rId2" Type="http://schemas.openxmlformats.org/officeDocument/2006/relationships/hyperlink" Target="https://www.manifestinvesting.com/companies/dg" TargetMode="External"/><Relationship Id="rId3" Type="http://schemas.openxmlformats.org/officeDocument/2006/relationships/hyperlink" Target="https://www.manifestinvesting.com/companies/dhi" TargetMode="External"/><Relationship Id="rId4" Type="http://schemas.openxmlformats.org/officeDocument/2006/relationships/hyperlink" Target="https://www.manifestinvesting.com/companies/esnt" TargetMode="External"/><Relationship Id="rId9" Type="http://schemas.openxmlformats.org/officeDocument/2006/relationships/hyperlink" Target="https://www.manifestinvesting.com/companies/ins" TargetMode="External"/><Relationship Id="rId15" Type="http://schemas.openxmlformats.org/officeDocument/2006/relationships/hyperlink" Target="https://www.manifestinvesting.com/companies/ulta" TargetMode="External"/><Relationship Id="rId14" Type="http://schemas.openxmlformats.org/officeDocument/2006/relationships/hyperlink" Target="https://www.manifestinvesting.com/companies/tsco" TargetMode="External"/><Relationship Id="rId17" Type="http://schemas.openxmlformats.org/officeDocument/2006/relationships/drawing" Target="../drawings/drawing3.xml"/><Relationship Id="rId16" Type="http://schemas.openxmlformats.org/officeDocument/2006/relationships/hyperlink" Target="https://www.manifestinvesting.com/companies/v" TargetMode="External"/><Relationship Id="rId5" Type="http://schemas.openxmlformats.org/officeDocument/2006/relationships/hyperlink" Target="https://www.manifestinvesting.com/companies/flt" TargetMode="External"/><Relationship Id="rId6" Type="http://schemas.openxmlformats.org/officeDocument/2006/relationships/hyperlink" Target="https://www.manifestinvesting.com/companies/fsfg" TargetMode="External"/><Relationship Id="rId7" Type="http://schemas.openxmlformats.org/officeDocument/2006/relationships/hyperlink" Target="https://www.manifestinvesting.com/companies/goog" TargetMode="External"/><Relationship Id="rId8" Type="http://schemas.openxmlformats.org/officeDocument/2006/relationships/hyperlink" Target="https://www.manifestinvesting.com/companies/googl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1.22" defaultRowHeight="15.0"/>
  <cols>
    <col customWidth="1" min="1" max="1" width="10.78"/>
    <col customWidth="1" min="2" max="2" width="18.22"/>
    <col customWidth="1" min="3" max="3" width="12.11"/>
    <col customWidth="1" min="4" max="4" width="14.44"/>
    <col customWidth="1" min="5" max="5" width="12.89"/>
    <col customWidth="1" min="6" max="6" width="9.11"/>
    <col customWidth="1" min="7" max="7" width="11.11"/>
    <col customWidth="1" min="8" max="8" width="10.67"/>
    <col customWidth="1" min="9" max="9" width="10.44"/>
    <col customWidth="1" min="10" max="12" width="10.33"/>
    <col customWidth="1" min="13" max="13" width="2.11"/>
    <col customWidth="1" min="14" max="14" width="7.11"/>
    <col customWidth="1" min="15" max="16" width="10.33"/>
    <col customWidth="1" min="17" max="17" width="9.67"/>
    <col customWidth="1" min="18" max="18" width="10.33"/>
    <col customWidth="1" min="19" max="19" width="8.33"/>
    <col customWidth="1" min="20" max="27" width="11.0"/>
  </cols>
  <sheetData>
    <row r="1" ht="15.75" customHeight="1">
      <c r="A1" s="1" t="s">
        <v>0</v>
      </c>
      <c r="B1" s="2" t="s">
        <v>1</v>
      </c>
    </row>
    <row r="2" ht="24.0" customHeight="1">
      <c r="A2" s="3"/>
      <c r="C2" s="4" t="s">
        <v>2</v>
      </c>
      <c r="D2" s="5" t="s">
        <v>3</v>
      </c>
    </row>
    <row r="3" ht="15.75" customHeight="1">
      <c r="A3" s="3" t="s">
        <v>4</v>
      </c>
      <c r="B3" s="6">
        <v>44814.0</v>
      </c>
      <c r="C3" s="3" t="s">
        <v>5</v>
      </c>
      <c r="D3" s="7">
        <v>406.6</v>
      </c>
      <c r="F3" s="8" t="s">
        <v>6</v>
      </c>
      <c r="G3" s="9"/>
      <c r="H3" s="9"/>
      <c r="I3" s="9"/>
    </row>
    <row r="4" ht="48.0" customHeight="1">
      <c r="A4" s="10" t="s">
        <v>7</v>
      </c>
      <c r="B4" s="11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2"/>
      <c r="N4" s="13" t="s">
        <v>19</v>
      </c>
      <c r="O4" s="14" t="s">
        <v>20</v>
      </c>
      <c r="P4" s="14" t="s">
        <v>21</v>
      </c>
      <c r="Q4" s="14" t="s">
        <v>22</v>
      </c>
      <c r="R4" s="14" t="s">
        <v>23</v>
      </c>
      <c r="S4" s="14" t="s">
        <v>24</v>
      </c>
      <c r="T4" s="15" t="s">
        <v>25</v>
      </c>
      <c r="U4" s="14" t="s">
        <v>26</v>
      </c>
      <c r="V4" s="14" t="s">
        <v>27</v>
      </c>
      <c r="W4" s="14" t="s">
        <v>28</v>
      </c>
    </row>
    <row r="5" ht="6.0" customHeight="1">
      <c r="A5" s="16"/>
      <c r="B5" s="17"/>
      <c r="C5" s="18"/>
      <c r="D5" s="19"/>
      <c r="E5" s="18"/>
      <c r="F5" s="20"/>
      <c r="G5" s="20"/>
      <c r="H5" s="20"/>
      <c r="I5" s="20"/>
      <c r="J5" s="20"/>
      <c r="K5" s="20"/>
      <c r="L5" s="20"/>
      <c r="M5" s="20"/>
      <c r="N5" s="21"/>
      <c r="O5" s="22"/>
      <c r="P5" s="22"/>
      <c r="Q5" s="22"/>
      <c r="R5" s="22"/>
      <c r="S5" s="3"/>
      <c r="T5" s="22"/>
      <c r="U5" s="22"/>
      <c r="V5" s="22"/>
      <c r="W5" s="22"/>
    </row>
    <row r="6" ht="15.75" customHeight="1">
      <c r="A6" s="3" t="s">
        <v>29</v>
      </c>
      <c r="B6" s="23">
        <v>44270.0</v>
      </c>
      <c r="C6" s="24">
        <v>396.41</v>
      </c>
      <c r="D6" s="24">
        <v>103.65</v>
      </c>
      <c r="E6" s="24">
        <v>123.97</v>
      </c>
      <c r="F6" s="21">
        <f>RRI($S6,$C6,$D$3)</f>
        <v>0.01718005059</v>
      </c>
      <c r="G6" s="21">
        <f>RRI($S6,$D6,$E6)</f>
        <v>0.1276631598</v>
      </c>
      <c r="H6" s="21">
        <f>$D$3/C6-1</f>
        <v>0.02570570874</v>
      </c>
      <c r="I6" s="21">
        <f>E6/D6-1</f>
        <v>0.1960443801</v>
      </c>
      <c r="J6" s="21">
        <f>I6-H6</f>
        <v>0.1703386714</v>
      </c>
      <c r="K6" s="21">
        <f>(U6/T6)-1</f>
        <v>0.1960443801</v>
      </c>
      <c r="L6" s="21">
        <f>(W6/V6)-1</f>
        <v>0.02570570874</v>
      </c>
      <c r="M6" s="21"/>
      <c r="N6" s="3">
        <v>94.0</v>
      </c>
      <c r="O6" s="22">
        <f>N6*D6</f>
        <v>9743.1</v>
      </c>
      <c r="P6" s="22">
        <f>N6*E6</f>
        <v>11653.18</v>
      </c>
      <c r="Q6" s="22">
        <f>N6*C6/(C6/D6)</f>
        <v>9743.1</v>
      </c>
      <c r="R6" s="22">
        <f>N6*$D$3/(C6/D6)</f>
        <v>9993.553291</v>
      </c>
      <c r="S6" s="24">
        <f>ROUND(($B$3-B6)/365,2)</f>
        <v>1.49</v>
      </c>
      <c r="T6" s="22">
        <f t="shared" ref="T6:W6" si="1">O6</f>
        <v>9743.1</v>
      </c>
      <c r="U6" s="22">
        <f t="shared" si="1"/>
        <v>11653.18</v>
      </c>
      <c r="V6" s="22">
        <f t="shared" si="1"/>
        <v>9743.1</v>
      </c>
      <c r="W6" s="22">
        <f t="shared" si="1"/>
        <v>9993.553291</v>
      </c>
    </row>
    <row r="7" ht="6.0" customHeight="1">
      <c r="A7" s="16"/>
      <c r="B7" s="17"/>
      <c r="C7" s="19"/>
      <c r="D7" s="19"/>
      <c r="E7" s="24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22"/>
      <c r="S7" s="3"/>
      <c r="T7" s="22"/>
      <c r="U7" s="22"/>
      <c r="V7" s="22"/>
      <c r="W7" s="22"/>
    </row>
    <row r="8" ht="15.75" customHeight="1">
      <c r="A8" s="3" t="s">
        <v>30</v>
      </c>
      <c r="B8" s="25">
        <v>42961.0</v>
      </c>
      <c r="C8" s="19">
        <v>246.54</v>
      </c>
      <c r="D8" s="19">
        <v>77.095</v>
      </c>
      <c r="E8" s="24">
        <v>247.26</v>
      </c>
      <c r="F8" s="26">
        <f t="shared" ref="F8:F9" si="2">RRI($S8,$C8,$D$3)</f>
        <v>0.1034982535</v>
      </c>
      <c r="G8" s="21">
        <f t="shared" ref="G8:G9" si="3">RRI($S8,$D8,$E8)</f>
        <v>0.2578574536</v>
      </c>
      <c r="H8" s="26">
        <f t="shared" ref="H8:H9" si="4">$D$3/C8-1</f>
        <v>0.6492252778</v>
      </c>
      <c r="I8" s="21">
        <f t="shared" ref="I8:I9" si="5">E8/D8-1</f>
        <v>2.207211881</v>
      </c>
      <c r="J8" s="21">
        <f t="shared" ref="J8:J9" si="6">I8-H8</f>
        <v>1.557986604</v>
      </c>
      <c r="K8" s="21"/>
      <c r="L8" s="21"/>
      <c r="M8" s="3"/>
      <c r="N8" s="16">
        <v>4.0</v>
      </c>
      <c r="O8" s="22">
        <f t="shared" ref="O8:O9" si="7">N8*D8</f>
        <v>308.38</v>
      </c>
      <c r="P8" s="22">
        <f t="shared" ref="P8:P9" si="8">N8*E8</f>
        <v>989.04</v>
      </c>
      <c r="Q8" s="22">
        <f t="shared" ref="Q8:Q9" si="9">N8*C8/(C8/D8)</f>
        <v>308.38</v>
      </c>
      <c r="R8" s="22">
        <f t="shared" ref="R8:R9" si="10">N8*$D$3/(C8/D8)</f>
        <v>508.5880912</v>
      </c>
      <c r="S8" s="24">
        <f t="shared" ref="S8:S9" si="11">ROUND(($B$3-B8)/365,2)</f>
        <v>5.08</v>
      </c>
      <c r="T8" s="22"/>
      <c r="U8" s="22"/>
      <c r="V8" s="22"/>
      <c r="W8" s="22"/>
    </row>
    <row r="9" ht="15.75" customHeight="1">
      <c r="A9" s="3" t="s">
        <v>30</v>
      </c>
      <c r="B9" s="25">
        <v>43024.0</v>
      </c>
      <c r="C9" s="19">
        <v>255.29</v>
      </c>
      <c r="D9" s="19">
        <v>82.072396</v>
      </c>
      <c r="E9" s="24">
        <v>247.26</v>
      </c>
      <c r="F9" s="26">
        <f t="shared" si="2"/>
        <v>0.09964308912</v>
      </c>
      <c r="G9" s="21">
        <f t="shared" si="3"/>
        <v>0.2524092774</v>
      </c>
      <c r="H9" s="26">
        <f t="shared" si="4"/>
        <v>0.5926984997</v>
      </c>
      <c r="I9" s="21">
        <f t="shared" si="5"/>
        <v>2.012706002</v>
      </c>
      <c r="J9" s="21">
        <f t="shared" si="6"/>
        <v>1.420007502</v>
      </c>
      <c r="K9" s="21">
        <f>(U9/T9)-1</f>
        <v>2.020848384</v>
      </c>
      <c r="L9" s="21">
        <f>(W9/V9)-1</f>
        <v>0.5950648171</v>
      </c>
      <c r="M9" s="21"/>
      <c r="N9" s="27">
        <v>86.0</v>
      </c>
      <c r="O9" s="22">
        <f t="shared" si="7"/>
        <v>7058.226056</v>
      </c>
      <c r="P9" s="22">
        <f t="shared" si="8"/>
        <v>21264.36</v>
      </c>
      <c r="Q9" s="22">
        <f t="shared" si="9"/>
        <v>7058.226056</v>
      </c>
      <c r="R9" s="22">
        <f t="shared" si="10"/>
        <v>11241.62605</v>
      </c>
      <c r="S9" s="24">
        <f t="shared" si="11"/>
        <v>4.9</v>
      </c>
      <c r="T9" s="22">
        <f t="shared" ref="T9:W9" si="12">SUM(O8:O9)</f>
        <v>7366.606056</v>
      </c>
      <c r="U9" s="22">
        <f t="shared" si="12"/>
        <v>22253.4</v>
      </c>
      <c r="V9" s="22">
        <f t="shared" si="12"/>
        <v>7366.606056</v>
      </c>
      <c r="W9" s="22">
        <f t="shared" si="12"/>
        <v>11750.21414</v>
      </c>
    </row>
    <row r="10" ht="6.0" customHeight="1">
      <c r="A10" s="16"/>
      <c r="B10" s="17"/>
      <c r="C10" s="19"/>
      <c r="D10" s="19"/>
      <c r="E10" s="24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3"/>
      <c r="T10" s="22"/>
      <c r="U10" s="22"/>
      <c r="V10" s="22"/>
      <c r="W10" s="22"/>
    </row>
    <row r="11" ht="15.75" customHeight="1">
      <c r="A11" s="3" t="s">
        <v>31</v>
      </c>
      <c r="B11" s="25">
        <v>44207.0</v>
      </c>
      <c r="C11" s="19">
        <v>378.69</v>
      </c>
      <c r="D11" s="19">
        <v>66.546763</v>
      </c>
      <c r="E11" s="24">
        <v>73.33</v>
      </c>
      <c r="F11" s="26">
        <f t="shared" ref="F11:F13" si="13">RRI($S11,$C11,$D$3)</f>
        <v>0.04376935196</v>
      </c>
      <c r="G11" s="21">
        <f t="shared" ref="G11:G13" si="14">RRI($S11,$D11,$E11)</f>
        <v>0.06021617972</v>
      </c>
      <c r="H11" s="26">
        <f t="shared" ref="H11:H13" si="15">$D$3/C11-1</f>
        <v>0.07370144445</v>
      </c>
      <c r="I11" s="21">
        <f t="shared" ref="I11:I13" si="16">E11/D11-1</f>
        <v>0.1019318851</v>
      </c>
      <c r="J11" s="21">
        <f t="shared" ref="J11:J13" si="17">I11-H11</f>
        <v>0.02823044065</v>
      </c>
      <c r="K11" s="21"/>
      <c r="L11" s="21"/>
      <c r="M11" s="3"/>
      <c r="N11" s="16">
        <v>0.278</v>
      </c>
      <c r="O11" s="22">
        <f t="shared" ref="O11:O13" si="18">N11*D11</f>
        <v>18.50000011</v>
      </c>
      <c r="P11" s="22">
        <f t="shared" ref="P11:P13" si="19">N11*E11</f>
        <v>20.38574</v>
      </c>
      <c r="Q11" s="22">
        <f t="shared" ref="Q11:Q13" si="20">N11*C11/(C11/D11)</f>
        <v>18.50000011</v>
      </c>
      <c r="R11" s="22">
        <f t="shared" ref="R11:R13" si="21">N11*$D$3/(C11/D11)</f>
        <v>19.86347684</v>
      </c>
      <c r="S11" s="24">
        <f t="shared" ref="S11:S13" si="22">ROUND(($B$3-B11)/365,2)</f>
        <v>1.66</v>
      </c>
      <c r="T11" s="22"/>
      <c r="U11" s="22"/>
      <c r="V11" s="22"/>
      <c r="W11" s="22"/>
    </row>
    <row r="12" ht="15.75" customHeight="1">
      <c r="A12" s="3" t="s">
        <v>31</v>
      </c>
      <c r="B12" s="25">
        <v>44207.0</v>
      </c>
      <c r="C12" s="19">
        <v>378.69</v>
      </c>
      <c r="D12" s="19">
        <v>66.54</v>
      </c>
      <c r="E12" s="24">
        <v>73.33</v>
      </c>
      <c r="F12" s="26">
        <f t="shared" si="13"/>
        <v>0.04376935196</v>
      </c>
      <c r="G12" s="21">
        <f t="shared" si="14"/>
        <v>0.06028109309</v>
      </c>
      <c r="H12" s="26">
        <f t="shared" si="15"/>
        <v>0.07370144445</v>
      </c>
      <c r="I12" s="21">
        <f t="shared" si="16"/>
        <v>0.1020438834</v>
      </c>
      <c r="J12" s="21">
        <f t="shared" si="17"/>
        <v>0.02834243893</v>
      </c>
      <c r="K12" s="21">
        <f>(U12/T12)-1</f>
        <v>0.07386238334</v>
      </c>
      <c r="L12" s="21">
        <f>(W12/V12)-1</f>
        <v>0.05675715889</v>
      </c>
      <c r="M12" s="21"/>
      <c r="N12" s="16">
        <v>183.0</v>
      </c>
      <c r="O12" s="22">
        <f t="shared" si="18"/>
        <v>12176.82</v>
      </c>
      <c r="P12" s="22">
        <f t="shared" si="19"/>
        <v>13419.39</v>
      </c>
      <c r="Q12" s="22">
        <f t="shared" si="20"/>
        <v>12176.82</v>
      </c>
      <c r="R12" s="22">
        <f t="shared" si="21"/>
        <v>13074.26922</v>
      </c>
      <c r="S12" s="24">
        <f t="shared" si="22"/>
        <v>1.66</v>
      </c>
      <c r="T12" s="22">
        <f t="shared" ref="T12:W12" si="23">SUM(O11:O13)</f>
        <v>13607.9408</v>
      </c>
      <c r="U12" s="22">
        <f t="shared" si="23"/>
        <v>14613.05574</v>
      </c>
      <c r="V12" s="22">
        <f t="shared" si="23"/>
        <v>13607.9408</v>
      </c>
      <c r="W12" s="22">
        <f t="shared" si="23"/>
        <v>14380.28886</v>
      </c>
    </row>
    <row r="13" ht="15.75" customHeight="1">
      <c r="A13" s="3" t="s">
        <v>31</v>
      </c>
      <c r="B13" s="25">
        <v>44452.0</v>
      </c>
      <c r="C13" s="19">
        <v>446.58</v>
      </c>
      <c r="D13" s="19">
        <v>88.2888</v>
      </c>
      <c r="E13" s="24">
        <v>73.33</v>
      </c>
      <c r="F13" s="21">
        <f t="shared" si="13"/>
        <v>-0.09038697262</v>
      </c>
      <c r="G13" s="21">
        <f t="shared" si="14"/>
        <v>-0.1709863377</v>
      </c>
      <c r="H13" s="21">
        <f t="shared" si="15"/>
        <v>-0.08952483318</v>
      </c>
      <c r="I13" s="21">
        <f t="shared" si="16"/>
        <v>-0.1694303241</v>
      </c>
      <c r="J13" s="21">
        <f t="shared" si="17"/>
        <v>-0.07990549094</v>
      </c>
      <c r="K13" s="21"/>
      <c r="L13" s="21"/>
      <c r="N13" s="16">
        <v>16.0</v>
      </c>
      <c r="O13" s="22">
        <f t="shared" si="18"/>
        <v>1412.6208</v>
      </c>
      <c r="P13" s="22">
        <f t="shared" si="19"/>
        <v>1173.28</v>
      </c>
      <c r="Q13" s="22">
        <f t="shared" si="20"/>
        <v>1412.6208</v>
      </c>
      <c r="R13" s="22">
        <f t="shared" si="21"/>
        <v>1286.156159</v>
      </c>
      <c r="S13" s="24">
        <f t="shared" si="22"/>
        <v>0.99</v>
      </c>
    </row>
    <row r="14" ht="6.75" customHeight="1">
      <c r="A14" s="16"/>
      <c r="B14" s="17"/>
      <c r="C14" s="19"/>
      <c r="D14" s="19"/>
      <c r="E14" s="24"/>
      <c r="F14" s="26"/>
      <c r="G14" s="21"/>
      <c r="H14" s="26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3"/>
      <c r="T14" s="22"/>
      <c r="U14" s="22"/>
      <c r="V14" s="22"/>
      <c r="W14" s="22"/>
    </row>
    <row r="15" ht="15.75" customHeight="1">
      <c r="A15" s="16" t="s">
        <v>32</v>
      </c>
      <c r="B15" s="17">
        <v>44243.0</v>
      </c>
      <c r="C15" s="24">
        <v>392.3</v>
      </c>
      <c r="D15" s="19">
        <v>20.5833</v>
      </c>
      <c r="E15" s="24">
        <v>23.01</v>
      </c>
      <c r="F15" s="21">
        <f t="shared" ref="F15:F19" si="24">RRI($S15,$C15,$D$3)</f>
        <v>0.02321606488</v>
      </c>
      <c r="G15" s="21">
        <f t="shared" ref="G15:G19" si="25">RRI($S15,$D15,$E15)</f>
        <v>0.07405538317</v>
      </c>
      <c r="H15" s="21">
        <f t="shared" ref="H15:H19" si="26">$D$3/C15-1</f>
        <v>0.03645169513</v>
      </c>
      <c r="I15" s="21">
        <f t="shared" ref="I15:I19" si="27">E15/D15-1</f>
        <v>0.1178965472</v>
      </c>
      <c r="J15" s="21">
        <f t="shared" ref="J15:J19" si="28">I15-H15</f>
        <v>0.08144485207</v>
      </c>
      <c r="K15" s="21"/>
      <c r="L15" s="21"/>
      <c r="M15" s="3"/>
      <c r="N15" s="3">
        <v>63.0</v>
      </c>
      <c r="O15" s="22">
        <f t="shared" ref="O15:O19" si="29">N15*D15</f>
        <v>1296.7479</v>
      </c>
      <c r="P15" s="22">
        <f t="shared" ref="P15:P19" si="30">N15*E15</f>
        <v>1449.63</v>
      </c>
      <c r="Q15" s="22">
        <f t="shared" ref="Q15:Q19" si="31">N15*C15/(C15/D15)</f>
        <v>1296.7479</v>
      </c>
      <c r="R15" s="22">
        <f t="shared" ref="R15:R19" si="32">N15*$D$3/(C15/D15)</f>
        <v>1344.016559</v>
      </c>
      <c r="S15" s="24">
        <f t="shared" ref="S15:S19" si="33">ROUND(($B$3-B15)/365,2)</f>
        <v>1.56</v>
      </c>
      <c r="T15" s="22"/>
      <c r="U15" s="22"/>
      <c r="V15" s="22"/>
      <c r="W15" s="22"/>
    </row>
    <row r="16" ht="15.75" customHeight="1">
      <c r="A16" s="16" t="s">
        <v>32</v>
      </c>
      <c r="B16" s="17">
        <v>44270.0</v>
      </c>
      <c r="C16" s="24">
        <v>396.41</v>
      </c>
      <c r="D16" s="19">
        <v>23.0</v>
      </c>
      <c r="E16" s="24">
        <v>23.01</v>
      </c>
      <c r="F16" s="21">
        <f t="shared" si="24"/>
        <v>0.01718005059</v>
      </c>
      <c r="G16" s="21">
        <f t="shared" si="25"/>
        <v>0.0002917795514</v>
      </c>
      <c r="H16" s="21">
        <f t="shared" si="26"/>
        <v>0.02570570874</v>
      </c>
      <c r="I16" s="21">
        <f t="shared" si="27"/>
        <v>0.0004347826087</v>
      </c>
      <c r="J16" s="21">
        <f t="shared" si="28"/>
        <v>-0.02527092613</v>
      </c>
      <c r="K16" s="21"/>
      <c r="L16" s="21"/>
      <c r="M16" s="3"/>
      <c r="N16" s="3">
        <v>210.0</v>
      </c>
      <c r="O16" s="22">
        <f t="shared" si="29"/>
        <v>4830</v>
      </c>
      <c r="P16" s="22">
        <f t="shared" si="30"/>
        <v>4832.1</v>
      </c>
      <c r="Q16" s="22">
        <f t="shared" si="31"/>
        <v>4830</v>
      </c>
      <c r="R16" s="22">
        <f t="shared" si="32"/>
        <v>4954.158573</v>
      </c>
      <c r="S16" s="24">
        <f t="shared" si="33"/>
        <v>1.49</v>
      </c>
      <c r="T16" s="22"/>
      <c r="U16" s="22"/>
      <c r="V16" s="22"/>
      <c r="W16" s="22"/>
    </row>
    <row r="17" ht="15.75" customHeight="1">
      <c r="A17" s="16" t="s">
        <v>32</v>
      </c>
      <c r="B17" s="17">
        <v>44298.0</v>
      </c>
      <c r="C17" s="24">
        <v>411.64</v>
      </c>
      <c r="D17" s="19">
        <v>22.67</v>
      </c>
      <c r="E17" s="24">
        <v>23.01</v>
      </c>
      <c r="F17" s="21">
        <f t="shared" si="24"/>
        <v>-0.008699020506</v>
      </c>
      <c r="G17" s="21">
        <f t="shared" si="25"/>
        <v>0.01061368832</v>
      </c>
      <c r="H17" s="21">
        <f t="shared" si="26"/>
        <v>-0.01224370809</v>
      </c>
      <c r="I17" s="21">
        <f t="shared" si="27"/>
        <v>0.01499779444</v>
      </c>
      <c r="J17" s="21">
        <f t="shared" si="28"/>
        <v>0.02724150254</v>
      </c>
      <c r="K17" s="21">
        <f>(U17/T17)-1</f>
        <v>0.01215780099</v>
      </c>
      <c r="L17" s="21">
        <f>(W17/V17)-1</f>
        <v>0.004420739667</v>
      </c>
      <c r="M17" s="21"/>
      <c r="N17" s="3">
        <v>15.0</v>
      </c>
      <c r="O17" s="22">
        <f t="shared" si="29"/>
        <v>340.05</v>
      </c>
      <c r="P17" s="22">
        <f t="shared" si="30"/>
        <v>345.15</v>
      </c>
      <c r="Q17" s="22">
        <f t="shared" si="31"/>
        <v>340.05</v>
      </c>
      <c r="R17" s="22">
        <f t="shared" si="32"/>
        <v>335.8865271</v>
      </c>
      <c r="S17" s="24">
        <f t="shared" si="33"/>
        <v>1.41</v>
      </c>
      <c r="T17" s="22">
        <f t="shared" ref="T17:W17" si="34">SUM(O15:O19)</f>
        <v>11730.5424</v>
      </c>
      <c r="U17" s="22">
        <f t="shared" si="34"/>
        <v>11873.16</v>
      </c>
      <c r="V17" s="22">
        <f t="shared" si="34"/>
        <v>11730.5424</v>
      </c>
      <c r="W17" s="22">
        <f t="shared" si="34"/>
        <v>11782.40007</v>
      </c>
    </row>
    <row r="18" ht="15.75" customHeight="1">
      <c r="A18" s="16" t="s">
        <v>32</v>
      </c>
      <c r="B18" s="17">
        <v>44298.0</v>
      </c>
      <c r="C18" s="24">
        <v>411.64</v>
      </c>
      <c r="D18" s="19">
        <v>22.8333</v>
      </c>
      <c r="E18" s="24">
        <v>23.01</v>
      </c>
      <c r="F18" s="21">
        <f t="shared" si="24"/>
        <v>-0.008699020506</v>
      </c>
      <c r="G18" s="21">
        <f t="shared" si="25"/>
        <v>0.005482283159</v>
      </c>
      <c r="H18" s="21">
        <f t="shared" si="26"/>
        <v>-0.01224370809</v>
      </c>
      <c r="I18" s="21">
        <f t="shared" si="27"/>
        <v>0.007738697429</v>
      </c>
      <c r="J18" s="21">
        <f t="shared" si="28"/>
        <v>0.01998240552</v>
      </c>
      <c r="K18" s="21"/>
      <c r="L18" s="21"/>
      <c r="M18" s="3"/>
      <c r="N18" s="3">
        <v>165.0</v>
      </c>
      <c r="O18" s="22">
        <f t="shared" si="29"/>
        <v>3767.4945</v>
      </c>
      <c r="P18" s="22">
        <f t="shared" si="30"/>
        <v>3796.65</v>
      </c>
      <c r="Q18" s="22">
        <f t="shared" si="31"/>
        <v>3767.4945</v>
      </c>
      <c r="R18" s="22">
        <f t="shared" si="32"/>
        <v>3721.366397</v>
      </c>
      <c r="S18" s="24">
        <f t="shared" si="33"/>
        <v>1.41</v>
      </c>
      <c r="T18" s="22"/>
      <c r="U18" s="22"/>
      <c r="V18" s="22"/>
      <c r="W18" s="22"/>
    </row>
    <row r="19" ht="15.75" customHeight="1">
      <c r="A19" s="16" t="s">
        <v>32</v>
      </c>
      <c r="B19" s="28">
        <v>44788.0</v>
      </c>
      <c r="C19" s="29">
        <v>426.34</v>
      </c>
      <c r="D19" s="30">
        <v>23.75</v>
      </c>
      <c r="E19" s="24">
        <v>23.01</v>
      </c>
      <c r="F19" s="21">
        <f t="shared" si="24"/>
        <v>-0.4919860705</v>
      </c>
      <c r="G19" s="21">
        <f t="shared" si="25"/>
        <v>-0.363769693</v>
      </c>
      <c r="H19" s="21">
        <f t="shared" si="26"/>
        <v>-0.04630107426</v>
      </c>
      <c r="I19" s="21">
        <f t="shared" si="27"/>
        <v>-0.03115789474</v>
      </c>
      <c r="J19" s="21">
        <f t="shared" si="28"/>
        <v>0.01514317952</v>
      </c>
      <c r="K19" s="21"/>
      <c r="L19" s="21"/>
      <c r="M19" s="3"/>
      <c r="N19" s="1">
        <v>63.0</v>
      </c>
      <c r="O19" s="22">
        <f t="shared" si="29"/>
        <v>1496.25</v>
      </c>
      <c r="P19" s="22">
        <f t="shared" si="30"/>
        <v>1449.63</v>
      </c>
      <c r="Q19" s="22">
        <f t="shared" si="31"/>
        <v>1496.25</v>
      </c>
      <c r="R19" s="22">
        <f t="shared" si="32"/>
        <v>1426.972018</v>
      </c>
      <c r="S19" s="24">
        <f t="shared" si="33"/>
        <v>0.07</v>
      </c>
      <c r="T19" s="22"/>
      <c r="U19" s="22"/>
      <c r="V19" s="22"/>
      <c r="W19" s="22"/>
    </row>
    <row r="20" ht="6.0" customHeight="1">
      <c r="A20" s="16"/>
      <c r="B20" s="17"/>
      <c r="C20" s="19"/>
      <c r="D20" s="19"/>
      <c r="E20" s="24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3"/>
      <c r="T20" s="22"/>
      <c r="U20" s="22"/>
      <c r="V20" s="22"/>
      <c r="W20" s="22"/>
    </row>
    <row r="21" ht="15.75" customHeight="1">
      <c r="A21" s="3" t="s">
        <v>33</v>
      </c>
      <c r="B21" s="25">
        <v>40707.0</v>
      </c>
      <c r="C21" s="19">
        <v>127.7</v>
      </c>
      <c r="D21" s="19">
        <f>255.057053/20</f>
        <v>12.75285265</v>
      </c>
      <c r="E21" s="24">
        <v>111.78</v>
      </c>
      <c r="F21" s="26">
        <f t="shared" ref="F21:F23" si="35">RRI($S21,$C21,$D$3)</f>
        <v>0.1084319106</v>
      </c>
      <c r="G21" s="21">
        <f t="shared" ref="G21:G23" si="36">RRI($S21,$D21,$E21)</f>
        <v>0.2128318718</v>
      </c>
      <c r="H21" s="26">
        <f t="shared" ref="H21:H23" si="37">$D$3/C21-1</f>
        <v>2.184025059</v>
      </c>
      <c r="I21" s="21">
        <f t="shared" ref="I21:I23" si="38">E21/D21-1</f>
        <v>7.765097745</v>
      </c>
      <c r="J21" s="21">
        <f t="shared" ref="J21:J23" si="39">I21-H21</f>
        <v>5.581072686</v>
      </c>
      <c r="K21" s="21"/>
      <c r="L21" s="21"/>
      <c r="M21" s="3"/>
      <c r="N21" s="16">
        <f>2.991762*20</f>
        <v>59.83524</v>
      </c>
      <c r="O21" s="22">
        <f t="shared" ref="O21:O23" si="40">N21*D21</f>
        <v>763.069999</v>
      </c>
      <c r="P21" s="22">
        <f t="shared" ref="P21:P23" si="41">N21*E21</f>
        <v>6688.383127</v>
      </c>
      <c r="Q21" s="22">
        <f t="shared" ref="Q21:Q23" si="42">N21*C21/(C21/D21)</f>
        <v>763.069999</v>
      </c>
      <c r="R21" s="22">
        <f t="shared" ref="R21:R23" si="43">N21*$D$3/(C21/D21)</f>
        <v>2429.633998</v>
      </c>
      <c r="S21" s="24">
        <f t="shared" ref="S21:S23" si="44">ROUND(($B$3-B21)/365,2)</f>
        <v>11.25</v>
      </c>
      <c r="T21" s="22"/>
      <c r="U21" s="22"/>
      <c r="V21" s="22"/>
      <c r="W21" s="22"/>
    </row>
    <row r="22" ht="15.75" customHeight="1">
      <c r="A22" s="3" t="s">
        <v>33</v>
      </c>
      <c r="B22" s="25">
        <v>40798.0</v>
      </c>
      <c r="C22" s="19">
        <v>116.67</v>
      </c>
      <c r="D22" s="19">
        <f>262.693643/20</f>
        <v>13.13468215</v>
      </c>
      <c r="E22" s="24">
        <v>111.78</v>
      </c>
      <c r="F22" s="26">
        <f t="shared" si="35"/>
        <v>0.1201898995</v>
      </c>
      <c r="G22" s="21">
        <f t="shared" si="36"/>
        <v>0.2148996656</v>
      </c>
      <c r="H22" s="26">
        <f t="shared" si="37"/>
        <v>2.485043284</v>
      </c>
      <c r="I22" s="21">
        <f t="shared" si="38"/>
        <v>7.51029349</v>
      </c>
      <c r="J22" s="21">
        <f t="shared" si="39"/>
        <v>5.025250206</v>
      </c>
      <c r="K22" s="21">
        <f>(U22/T22)-1</f>
        <v>7.248330494</v>
      </c>
      <c r="L22" s="21">
        <f>(W22/V22)-1</f>
        <v>2.231226764</v>
      </c>
      <c r="M22" s="21"/>
      <c r="N22" s="16">
        <f>2.005492*20</f>
        <v>40.10984</v>
      </c>
      <c r="O22" s="22">
        <f t="shared" si="40"/>
        <v>526.8299995</v>
      </c>
      <c r="P22" s="22">
        <f t="shared" si="41"/>
        <v>4483.477915</v>
      </c>
      <c r="Q22" s="22">
        <f t="shared" si="42"/>
        <v>526.8299995</v>
      </c>
      <c r="R22" s="22">
        <f t="shared" si="43"/>
        <v>1836.025352</v>
      </c>
      <c r="S22" s="24">
        <f t="shared" si="44"/>
        <v>11</v>
      </c>
      <c r="T22" s="22">
        <f t="shared" ref="T22:W22" si="45">SUM(O21:O23)</f>
        <v>1626.219998</v>
      </c>
      <c r="U22" s="22">
        <f t="shared" si="45"/>
        <v>13413.6</v>
      </c>
      <c r="V22" s="22">
        <f t="shared" si="45"/>
        <v>1626.219998</v>
      </c>
      <c r="W22" s="22">
        <f t="shared" si="45"/>
        <v>5254.685581</v>
      </c>
    </row>
    <row r="23" ht="15.75" customHeight="1">
      <c r="A23" s="3" t="s">
        <v>33</v>
      </c>
      <c r="B23" s="25">
        <v>41225.0</v>
      </c>
      <c r="C23" s="19">
        <v>138.265</v>
      </c>
      <c r="D23" s="19">
        <f>335.398994/20</f>
        <v>16.7699497</v>
      </c>
      <c r="E23" s="24">
        <v>111.78</v>
      </c>
      <c r="F23" s="26">
        <f t="shared" si="35"/>
        <v>0.1159780634</v>
      </c>
      <c r="G23" s="21">
        <f t="shared" si="36"/>
        <v>0.2128524505</v>
      </c>
      <c r="H23" s="26">
        <f t="shared" si="37"/>
        <v>1.940729758</v>
      </c>
      <c r="I23" s="21">
        <f t="shared" si="38"/>
        <v>5.665494053</v>
      </c>
      <c r="J23" s="21">
        <f t="shared" si="39"/>
        <v>3.724764295</v>
      </c>
      <c r="K23" s="21"/>
      <c r="L23" s="21"/>
      <c r="M23" s="3"/>
      <c r="N23" s="16">
        <f>1.002746*20</f>
        <v>20.05492</v>
      </c>
      <c r="O23" s="22">
        <f t="shared" si="40"/>
        <v>336.3199996</v>
      </c>
      <c r="P23" s="22">
        <f t="shared" si="41"/>
        <v>2241.738958</v>
      </c>
      <c r="Q23" s="22">
        <f t="shared" si="42"/>
        <v>336.3199996</v>
      </c>
      <c r="R23" s="22">
        <f t="shared" si="43"/>
        <v>989.0262312</v>
      </c>
      <c r="S23" s="24">
        <f t="shared" si="44"/>
        <v>9.83</v>
      </c>
      <c r="T23" s="22"/>
      <c r="U23" s="22"/>
      <c r="V23" s="22"/>
      <c r="W23" s="22"/>
    </row>
    <row r="24" ht="6.0" customHeight="1">
      <c r="A24" s="16"/>
      <c r="B24" s="17"/>
      <c r="C24" s="19"/>
      <c r="D24" s="19"/>
      <c r="E24" s="24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3"/>
      <c r="T24" s="22"/>
      <c r="U24" s="22"/>
      <c r="V24" s="22"/>
      <c r="W24" s="22"/>
    </row>
    <row r="25" ht="15.75" customHeight="1">
      <c r="A25" s="3" t="s">
        <v>34</v>
      </c>
      <c r="B25" s="25">
        <v>40707.0</v>
      </c>
      <c r="C25" s="19">
        <v>127.7</v>
      </c>
      <c r="D25" s="19">
        <f>256.576667/20</f>
        <v>12.82883335</v>
      </c>
      <c r="E25" s="24">
        <v>110.65</v>
      </c>
      <c r="F25" s="26">
        <f t="shared" ref="F25:F27" si="46">RRI($S25,$C25,$D$3)</f>
        <v>0.1084319106</v>
      </c>
      <c r="G25" s="21">
        <f t="shared" ref="G25:G27" si="47">RRI($S25,$D25,$E25)</f>
        <v>0.2110973249</v>
      </c>
      <c r="H25" s="26">
        <f t="shared" ref="H25:H27" si="48">$D$3/C25-1</f>
        <v>2.184025059</v>
      </c>
      <c r="I25" s="21">
        <f t="shared" ref="I25:I27" si="49">E25/D25-1</f>
        <v>7.625102297</v>
      </c>
      <c r="J25" s="21">
        <f t="shared" ref="J25:J27" si="50">I25-H25</f>
        <v>5.441077239</v>
      </c>
      <c r="K25" s="21"/>
      <c r="L25" s="21"/>
      <c r="M25" s="3"/>
      <c r="N25" s="16">
        <f>3*20</f>
        <v>60</v>
      </c>
      <c r="O25" s="22">
        <f t="shared" ref="O25:O27" si="51">N25*D25</f>
        <v>769.730001</v>
      </c>
      <c r="P25" s="22">
        <f t="shared" ref="P25:P27" si="52">N25*E25</f>
        <v>6639</v>
      </c>
      <c r="Q25" s="22">
        <f t="shared" ref="Q25:Q27" si="53">N25*C25/(C25/D25)</f>
        <v>769.730001</v>
      </c>
      <c r="R25" s="22">
        <f t="shared" ref="R25:R27" si="54">N25*$D$3/(C25/D25)</f>
        <v>2450.839612</v>
      </c>
      <c r="S25" s="24">
        <f t="shared" ref="S25:S27" si="55">ROUND(($B$3-B25)/365,2)</f>
        <v>11.25</v>
      </c>
      <c r="T25" s="22"/>
      <c r="U25" s="22"/>
      <c r="V25" s="22"/>
      <c r="W25" s="22"/>
    </row>
    <row r="26" ht="15.75" customHeight="1">
      <c r="A26" s="3" t="s">
        <v>34</v>
      </c>
      <c r="B26" s="25">
        <v>40798.0</v>
      </c>
      <c r="C26" s="19">
        <v>116.67</v>
      </c>
      <c r="D26" s="19">
        <f>264.255/20</f>
        <v>13.21275</v>
      </c>
      <c r="E26" s="24">
        <v>110.65</v>
      </c>
      <c r="F26" s="26">
        <f t="shared" si="46"/>
        <v>0.1201898995</v>
      </c>
      <c r="G26" s="21">
        <f t="shared" si="47"/>
        <v>0.2131242688</v>
      </c>
      <c r="H26" s="26">
        <f t="shared" si="48"/>
        <v>2.485043284</v>
      </c>
      <c r="I26" s="21">
        <f t="shared" si="49"/>
        <v>7.374486765</v>
      </c>
      <c r="J26" s="21">
        <f t="shared" si="50"/>
        <v>4.88944348</v>
      </c>
      <c r="K26" s="21">
        <f>(U26/T26)-1</f>
        <v>7.117923254</v>
      </c>
      <c r="L26" s="21">
        <f>(W26/V26)-1</f>
        <v>2.231103455</v>
      </c>
      <c r="M26" s="21"/>
      <c r="N26" s="16">
        <f>2*20</f>
        <v>40</v>
      </c>
      <c r="O26" s="22">
        <f t="shared" si="51"/>
        <v>528.51</v>
      </c>
      <c r="P26" s="22">
        <f t="shared" si="52"/>
        <v>4426</v>
      </c>
      <c r="Q26" s="22">
        <f t="shared" si="53"/>
        <v>528.51</v>
      </c>
      <c r="R26" s="22">
        <f t="shared" si="54"/>
        <v>1841.880226</v>
      </c>
      <c r="S26" s="24">
        <f t="shared" si="55"/>
        <v>11</v>
      </c>
      <c r="T26" s="22">
        <f t="shared" ref="T26:W26" si="56">SUM(O25:O27)</f>
        <v>1635.640001</v>
      </c>
      <c r="U26" s="22">
        <f t="shared" si="56"/>
        <v>13278</v>
      </c>
      <c r="V26" s="22">
        <f t="shared" si="56"/>
        <v>1635.640001</v>
      </c>
      <c r="W26" s="22">
        <f t="shared" si="56"/>
        <v>5284.922058</v>
      </c>
    </row>
    <row r="27" ht="15.75" customHeight="1">
      <c r="A27" s="3" t="s">
        <v>34</v>
      </c>
      <c r="B27" s="25">
        <v>41225.0</v>
      </c>
      <c r="C27" s="19">
        <v>138.265</v>
      </c>
      <c r="D27" s="19">
        <f>337.4/20</f>
        <v>16.87</v>
      </c>
      <c r="E27" s="24">
        <v>110.65</v>
      </c>
      <c r="F27" s="26">
        <f t="shared" si="46"/>
        <v>0.1159780634</v>
      </c>
      <c r="G27" s="21">
        <f t="shared" si="47"/>
        <v>0.2108665169</v>
      </c>
      <c r="H27" s="26">
        <f t="shared" si="48"/>
        <v>1.940729758</v>
      </c>
      <c r="I27" s="21">
        <f t="shared" si="49"/>
        <v>5.558980439</v>
      </c>
      <c r="J27" s="21">
        <f t="shared" si="50"/>
        <v>3.618250681</v>
      </c>
      <c r="K27" s="21"/>
      <c r="L27" s="21"/>
      <c r="M27" s="3"/>
      <c r="N27" s="16">
        <f>1*20</f>
        <v>20</v>
      </c>
      <c r="O27" s="22">
        <f t="shared" si="51"/>
        <v>337.4</v>
      </c>
      <c r="P27" s="22">
        <f t="shared" si="52"/>
        <v>2213</v>
      </c>
      <c r="Q27" s="22">
        <f t="shared" si="53"/>
        <v>337.4</v>
      </c>
      <c r="R27" s="22">
        <f t="shared" si="54"/>
        <v>992.2022204</v>
      </c>
      <c r="S27" s="24">
        <f t="shared" si="55"/>
        <v>9.83</v>
      </c>
      <c r="T27" s="22"/>
      <c r="U27" s="22"/>
      <c r="V27" s="22"/>
      <c r="W27" s="22"/>
    </row>
    <row r="28" ht="9.0" customHeight="1">
      <c r="A28" s="3"/>
      <c r="B28" s="17"/>
      <c r="C28" s="19"/>
      <c r="D28" s="19"/>
      <c r="E28" s="24"/>
      <c r="F28" s="26"/>
      <c r="G28" s="21"/>
      <c r="H28" s="26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3"/>
      <c r="T28" s="22"/>
      <c r="U28" s="22"/>
      <c r="V28" s="22"/>
      <c r="W28" s="22"/>
    </row>
    <row r="29" ht="17.25" customHeight="1">
      <c r="A29" s="1" t="s">
        <v>35</v>
      </c>
      <c r="B29" s="28">
        <v>44725.0</v>
      </c>
      <c r="C29" s="30">
        <v>377.36</v>
      </c>
      <c r="D29" s="30">
        <v>78.75</v>
      </c>
      <c r="E29" s="24">
        <v>81.16</v>
      </c>
      <c r="F29" s="21">
        <f>RRI($S29,$C29,$D$3)</f>
        <v>0.3647338472</v>
      </c>
      <c r="G29" s="21">
        <f>RRI($S29,$D29,$E29)</f>
        <v>0.133829667</v>
      </c>
      <c r="H29" s="21">
        <f>$D$3/C29-1</f>
        <v>0.07748569006</v>
      </c>
      <c r="I29" s="21">
        <f>E29/D29-1</f>
        <v>0.0306031746</v>
      </c>
      <c r="J29" s="21">
        <f>I29-H29</f>
        <v>-0.04688251545</v>
      </c>
      <c r="K29" s="21">
        <f>(U29/T29)-1</f>
        <v>0.0306031746</v>
      </c>
      <c r="L29" s="21">
        <f>(W29/V29)-1</f>
        <v>0.07748569006</v>
      </c>
      <c r="M29" s="21"/>
      <c r="N29" s="1">
        <v>137.0</v>
      </c>
      <c r="O29" s="22">
        <f>N29*D29</f>
        <v>10788.75</v>
      </c>
      <c r="P29" s="22">
        <f>N29*E29</f>
        <v>11118.92</v>
      </c>
      <c r="Q29" s="22">
        <f>N29*C29/(C29/D29)</f>
        <v>10788.75</v>
      </c>
      <c r="R29" s="22">
        <f>N29*$D$3/(C29/D29)</f>
        <v>11624.72374</v>
      </c>
      <c r="S29" s="24">
        <f>ROUND(($B$3-B29)/365,2)</f>
        <v>0.24</v>
      </c>
      <c r="T29" s="22">
        <f>SUM(O29)</f>
        <v>10788.75</v>
      </c>
      <c r="U29" s="22">
        <f t="shared" ref="U29:W29" si="57">SUM(P29:P30)</f>
        <v>11118.92</v>
      </c>
      <c r="V29" s="22">
        <f t="shared" si="57"/>
        <v>10788.75</v>
      </c>
      <c r="W29" s="22">
        <f t="shared" si="57"/>
        <v>11624.72374</v>
      </c>
    </row>
    <row r="30" ht="6.0" customHeight="1">
      <c r="A30" s="3"/>
      <c r="B30" s="17"/>
      <c r="C30" s="19"/>
      <c r="D30" s="19"/>
      <c r="E30" s="24"/>
      <c r="F30" s="26"/>
      <c r="G30" s="21"/>
      <c r="H30" s="26"/>
      <c r="I30" s="21"/>
      <c r="J30" s="21"/>
      <c r="K30" s="21"/>
      <c r="L30" s="21"/>
      <c r="M30" s="21"/>
      <c r="N30" s="21"/>
      <c r="O30" s="22"/>
      <c r="P30" s="22"/>
      <c r="Q30" s="22"/>
      <c r="R30" s="22"/>
      <c r="S30" s="3"/>
      <c r="T30" s="22"/>
      <c r="U30" s="22"/>
      <c r="V30" s="22"/>
      <c r="W30" s="22"/>
    </row>
    <row r="31" ht="15.75" customHeight="1">
      <c r="A31" s="16" t="s">
        <v>36</v>
      </c>
      <c r="B31" s="17">
        <v>44424.0</v>
      </c>
      <c r="C31" s="19">
        <v>447.02</v>
      </c>
      <c r="D31" s="19">
        <v>189.0</v>
      </c>
      <c r="E31" s="24">
        <v>144.6</v>
      </c>
      <c r="F31" s="21">
        <f>RRI($S31,$C31,$D$3)</f>
        <v>-0.08476398207</v>
      </c>
      <c r="G31" s="21">
        <f>RRI($S31,$D31,$E31)</f>
        <v>-0.2213998635</v>
      </c>
      <c r="H31" s="21">
        <f>$D$3/C31-1</f>
        <v>-0.09042101025</v>
      </c>
      <c r="I31" s="21">
        <f>E31/D31-1</f>
        <v>-0.2349206349</v>
      </c>
      <c r="J31" s="21">
        <f>I31-H31</f>
        <v>-0.1444996247</v>
      </c>
      <c r="K31" s="21">
        <f>(U31/T31)-1</f>
        <v>-0.2349206349</v>
      </c>
      <c r="L31" s="21">
        <f>(W31/V31)-1</f>
        <v>-0.09042101025</v>
      </c>
      <c r="M31" s="21"/>
      <c r="N31" s="3">
        <v>71.0</v>
      </c>
      <c r="O31" s="22">
        <f>N31*D31</f>
        <v>13419</v>
      </c>
      <c r="P31" s="22">
        <f>N31*E31</f>
        <v>10266.6</v>
      </c>
      <c r="Q31" s="22">
        <f>N31*C31/(C31/D31)</f>
        <v>13419</v>
      </c>
      <c r="R31" s="22">
        <f>N31*$D$3/(C31/D31)</f>
        <v>12205.64046</v>
      </c>
      <c r="S31" s="24">
        <f>ROUND(($B$3-B31)/365,2)</f>
        <v>1.07</v>
      </c>
      <c r="T31" s="22">
        <f>SUM(O31)</f>
        <v>13419</v>
      </c>
      <c r="U31" s="22">
        <f t="shared" ref="U31:W31" si="58">SUM(P31:P32)</f>
        <v>10266.6</v>
      </c>
      <c r="V31" s="22">
        <f t="shared" si="58"/>
        <v>13419</v>
      </c>
      <c r="W31" s="22">
        <f t="shared" si="58"/>
        <v>12205.64046</v>
      </c>
    </row>
    <row r="32" ht="6.75" customHeight="1">
      <c r="A32" s="16"/>
      <c r="B32" s="17"/>
      <c r="C32" s="19"/>
      <c r="D32" s="19"/>
      <c r="E32" s="24"/>
      <c r="F32" s="26"/>
      <c r="G32" s="21"/>
      <c r="H32" s="26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3"/>
      <c r="T32" s="22"/>
      <c r="U32" s="22"/>
      <c r="V32" s="22"/>
      <c r="W32" s="22"/>
    </row>
    <row r="33" ht="18.0" customHeight="1">
      <c r="A33" s="27" t="s">
        <v>37</v>
      </c>
      <c r="B33" s="28">
        <v>44634.0</v>
      </c>
      <c r="C33" s="30">
        <v>417.0</v>
      </c>
      <c r="D33" s="30">
        <v>60.45</v>
      </c>
      <c r="E33" s="24">
        <v>54.73</v>
      </c>
      <c r="F33" s="21">
        <f t="shared" ref="F33:F35" si="60">RRI($S33,$C33,$D$3)</f>
        <v>-0.05023767646</v>
      </c>
      <c r="G33" s="21">
        <f t="shared" ref="G33:G35" si="61">RRI($S33,$D33,$E33)</f>
        <v>-0.1836127563</v>
      </c>
      <c r="H33" s="21">
        <f t="shared" ref="H33:H35" si="62">$D$3/C33-1</f>
        <v>-0.02494004796</v>
      </c>
      <c r="I33" s="21">
        <f t="shared" ref="I33:I35" si="63">E33/D33-1</f>
        <v>-0.09462365591</v>
      </c>
      <c r="J33" s="21">
        <f t="shared" ref="J33:J35" si="64">I33-H33</f>
        <v>-0.06968360795</v>
      </c>
      <c r="K33" s="21">
        <f>(U33/T33)-1</f>
        <v>-0.03719078547</v>
      </c>
      <c r="L33" s="21">
        <f>(W33/V33)-1</f>
        <v>0.006084603911</v>
      </c>
      <c r="M33" s="21"/>
      <c r="N33" s="1">
        <v>102.0</v>
      </c>
      <c r="O33" s="22">
        <f t="shared" ref="O33:O35" si="65">N33*D33</f>
        <v>6165.9</v>
      </c>
      <c r="P33" s="22">
        <f t="shared" ref="P33:P35" si="66">N33*E33</f>
        <v>5582.46</v>
      </c>
      <c r="Q33" s="22">
        <f t="shared" ref="Q33:Q35" si="67">N33*C33/(C33/D33)</f>
        <v>6165.9</v>
      </c>
      <c r="R33" s="22">
        <f t="shared" ref="R33:R35" si="68">N33*$D$3/(C33/D33)</f>
        <v>6012.122158</v>
      </c>
      <c r="S33" s="24">
        <f t="shared" ref="S33:S35" si="69">ROUND(($B$3-B33)/365,2)</f>
        <v>0.49</v>
      </c>
      <c r="T33" s="22">
        <f t="shared" ref="T33:W33" si="59">SUM(O33:O35)</f>
        <v>11994.1</v>
      </c>
      <c r="U33" s="22">
        <f t="shared" si="59"/>
        <v>11548.03</v>
      </c>
      <c r="V33" s="22">
        <f t="shared" si="59"/>
        <v>11994.1</v>
      </c>
      <c r="W33" s="22">
        <f t="shared" si="59"/>
        <v>12067.07935</v>
      </c>
    </row>
    <row r="34" ht="18.0" customHeight="1">
      <c r="A34" s="27" t="s">
        <v>37</v>
      </c>
      <c r="B34" s="28">
        <v>44662.0</v>
      </c>
      <c r="C34" s="30">
        <v>439.92</v>
      </c>
      <c r="D34" s="30">
        <v>50.6</v>
      </c>
      <c r="E34" s="24">
        <v>54.73</v>
      </c>
      <c r="F34" s="21">
        <f t="shared" si="60"/>
        <v>-0.1709965241</v>
      </c>
      <c r="G34" s="21">
        <f t="shared" si="61"/>
        <v>0.2053988945</v>
      </c>
      <c r="H34" s="21">
        <f t="shared" si="62"/>
        <v>-0.07574104383</v>
      </c>
      <c r="I34" s="21">
        <f t="shared" si="63"/>
        <v>0.08162055336</v>
      </c>
      <c r="J34" s="21">
        <f t="shared" si="64"/>
        <v>0.1573615972</v>
      </c>
      <c r="K34" s="21"/>
      <c r="L34" s="21"/>
      <c r="M34" s="21"/>
      <c r="N34" s="1">
        <v>29.0</v>
      </c>
      <c r="O34" s="22">
        <f t="shared" si="65"/>
        <v>1467.4</v>
      </c>
      <c r="P34" s="22">
        <f t="shared" si="66"/>
        <v>1587.17</v>
      </c>
      <c r="Q34" s="22">
        <f t="shared" si="67"/>
        <v>1467.4</v>
      </c>
      <c r="R34" s="22">
        <f t="shared" si="68"/>
        <v>1356.257592</v>
      </c>
      <c r="S34" s="24">
        <f t="shared" si="69"/>
        <v>0.42</v>
      </c>
      <c r="T34" s="22"/>
      <c r="U34" s="22"/>
      <c r="V34" s="22"/>
      <c r="W34" s="22"/>
    </row>
    <row r="35" ht="18.0" customHeight="1">
      <c r="A35" s="27" t="s">
        <v>37</v>
      </c>
      <c r="B35" s="28">
        <v>44725.0</v>
      </c>
      <c r="C35" s="30">
        <v>377.36</v>
      </c>
      <c r="D35" s="30">
        <v>54.51</v>
      </c>
      <c r="E35" s="24">
        <v>54.73</v>
      </c>
      <c r="F35" s="21">
        <f t="shared" si="60"/>
        <v>0.3647338472</v>
      </c>
      <c r="G35" s="21">
        <f t="shared" si="61"/>
        <v>0.01692426168</v>
      </c>
      <c r="H35" s="21">
        <f t="shared" si="62"/>
        <v>0.07748569006</v>
      </c>
      <c r="I35" s="21">
        <f t="shared" si="63"/>
        <v>0.004035956705</v>
      </c>
      <c r="J35" s="21">
        <f t="shared" si="64"/>
        <v>-0.07344973335</v>
      </c>
      <c r="K35" s="21"/>
      <c r="L35" s="21"/>
      <c r="M35" s="21"/>
      <c r="N35" s="1">
        <v>80.0</v>
      </c>
      <c r="O35" s="22">
        <f t="shared" si="65"/>
        <v>4360.8</v>
      </c>
      <c r="P35" s="22">
        <f t="shared" si="66"/>
        <v>4378.4</v>
      </c>
      <c r="Q35" s="22">
        <f t="shared" si="67"/>
        <v>4360.8</v>
      </c>
      <c r="R35" s="22">
        <f t="shared" si="68"/>
        <v>4698.699597</v>
      </c>
      <c r="S35" s="24">
        <f t="shared" si="69"/>
        <v>0.24</v>
      </c>
      <c r="T35" s="22"/>
      <c r="U35" s="22"/>
      <c r="V35" s="22"/>
      <c r="W35" s="22"/>
    </row>
    <row r="36" ht="9.0" customHeight="1">
      <c r="A36" s="16"/>
      <c r="B36" s="17"/>
      <c r="C36" s="19"/>
      <c r="D36" s="19"/>
      <c r="E36" s="24"/>
      <c r="F36" s="26"/>
      <c r="G36" s="21"/>
      <c r="H36" s="26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3"/>
      <c r="T36" s="22"/>
      <c r="U36" s="22"/>
      <c r="V36" s="22"/>
      <c r="W36" s="22"/>
    </row>
    <row r="37" ht="15.75" customHeight="1">
      <c r="A37" s="16" t="s">
        <v>38</v>
      </c>
      <c r="B37" s="17">
        <v>43871.0</v>
      </c>
      <c r="C37" s="24">
        <v>334.68</v>
      </c>
      <c r="D37" s="19">
        <v>112.653696</v>
      </c>
      <c r="E37" s="24">
        <v>150.81</v>
      </c>
      <c r="F37" s="21">
        <f t="shared" ref="F37:F40" si="70">RRI($S37,$C37,$D$3)</f>
        <v>0.07836682087</v>
      </c>
      <c r="G37" s="21">
        <f t="shared" ref="G37:G40" si="71">RRI($S37,$D37,$E37)</f>
        <v>0.1197023637</v>
      </c>
      <c r="H37" s="21">
        <f t="shared" ref="H37:H40" si="72">$D$3/C37-1</f>
        <v>0.214891837</v>
      </c>
      <c r="I37" s="21">
        <f t="shared" ref="I37:I40" si="73">E37/D37-1</f>
        <v>0.3387044132</v>
      </c>
      <c r="J37" s="21">
        <f t="shared" ref="J37:J40" si="74">I37-H37</f>
        <v>0.1238125762</v>
      </c>
      <c r="K37" s="21"/>
      <c r="L37" s="21"/>
      <c r="M37" s="3"/>
      <c r="N37" s="16">
        <v>46.0</v>
      </c>
      <c r="O37" s="22">
        <f t="shared" ref="O37:O40" si="75">N37*D37</f>
        <v>5182.070016</v>
      </c>
      <c r="P37" s="22">
        <f t="shared" ref="P37:P40" si="76">N37*E37</f>
        <v>6937.26</v>
      </c>
      <c r="Q37" s="22">
        <f t="shared" ref="Q37:Q40" si="77">N37*C37/(C37/D37)</f>
        <v>5182.070016</v>
      </c>
      <c r="R37" s="22">
        <f t="shared" ref="R37:R40" si="78">N37*$D$3/(C37/D37)</f>
        <v>6295.654561</v>
      </c>
      <c r="S37" s="24">
        <f t="shared" ref="S37:S40" si="79">ROUND(($B$3-B37)/365,2)</f>
        <v>2.58</v>
      </c>
      <c r="T37" s="22"/>
      <c r="U37" s="22"/>
      <c r="V37" s="22"/>
      <c r="W37" s="22"/>
    </row>
    <row r="38" ht="15.75" customHeight="1">
      <c r="A38" s="16" t="s">
        <v>38</v>
      </c>
      <c r="B38" s="17">
        <v>43934.0</v>
      </c>
      <c r="C38" s="24">
        <v>275.66</v>
      </c>
      <c r="D38" s="19">
        <v>56.06</v>
      </c>
      <c r="E38" s="24">
        <v>150.81</v>
      </c>
      <c r="F38" s="21">
        <f t="shared" si="70"/>
        <v>0.1750026539</v>
      </c>
      <c r="G38" s="21">
        <f t="shared" si="71"/>
        <v>0.5077548172</v>
      </c>
      <c r="H38" s="21">
        <f t="shared" si="72"/>
        <v>0.4750054415</v>
      </c>
      <c r="I38" s="21">
        <f t="shared" si="73"/>
        <v>1.690153407</v>
      </c>
      <c r="J38" s="21">
        <f t="shared" si="74"/>
        <v>1.215147966</v>
      </c>
      <c r="K38" s="21"/>
      <c r="L38" s="21"/>
      <c r="M38" s="3"/>
      <c r="N38" s="16">
        <v>14.0</v>
      </c>
      <c r="O38" s="22">
        <f t="shared" si="75"/>
        <v>784.84</v>
      </c>
      <c r="P38" s="22">
        <f t="shared" si="76"/>
        <v>2111.34</v>
      </c>
      <c r="Q38" s="22">
        <f t="shared" si="77"/>
        <v>784.84</v>
      </c>
      <c r="R38" s="22">
        <f t="shared" si="78"/>
        <v>1157.643271</v>
      </c>
      <c r="S38" s="24">
        <f t="shared" si="79"/>
        <v>2.41</v>
      </c>
      <c r="T38" s="22"/>
      <c r="U38" s="22"/>
      <c r="V38" s="22"/>
      <c r="W38" s="22"/>
    </row>
    <row r="39" ht="15.75" customHeight="1">
      <c r="A39" s="16" t="s">
        <v>38</v>
      </c>
      <c r="B39" s="17">
        <v>43962.0</v>
      </c>
      <c r="C39" s="24">
        <v>292.5</v>
      </c>
      <c r="D39" s="19">
        <v>61.77833</v>
      </c>
      <c r="E39" s="24">
        <v>150.81</v>
      </c>
      <c r="F39" s="21">
        <f t="shared" si="70"/>
        <v>0.1518374729</v>
      </c>
      <c r="G39" s="21">
        <f t="shared" si="71"/>
        <v>0.4667271996</v>
      </c>
      <c r="H39" s="21">
        <f t="shared" si="72"/>
        <v>0.3900854701</v>
      </c>
      <c r="I39" s="21">
        <f t="shared" si="73"/>
        <v>1.441147244</v>
      </c>
      <c r="J39" s="21">
        <f t="shared" si="74"/>
        <v>1.051061774</v>
      </c>
      <c r="K39" s="21">
        <f>(U39/T39)-1</f>
        <v>0.7199443272</v>
      </c>
      <c r="L39" s="21">
        <f>(W39/V39)-1</f>
        <v>0.2883535075</v>
      </c>
      <c r="M39" s="21"/>
      <c r="N39" s="16">
        <v>12.0</v>
      </c>
      <c r="O39" s="22">
        <f t="shared" si="75"/>
        <v>741.33996</v>
      </c>
      <c r="P39" s="22">
        <f t="shared" si="76"/>
        <v>1809.72</v>
      </c>
      <c r="Q39" s="22">
        <f t="shared" si="77"/>
        <v>741.33996</v>
      </c>
      <c r="R39" s="22">
        <f t="shared" si="78"/>
        <v>1030.525907</v>
      </c>
      <c r="S39" s="24">
        <f t="shared" si="79"/>
        <v>2.33</v>
      </c>
      <c r="T39" s="22">
        <f t="shared" ref="T39:W39" si="80">SUM(O37:O40)</f>
        <v>11135.74998</v>
      </c>
      <c r="U39" s="22">
        <f t="shared" si="80"/>
        <v>19152.87</v>
      </c>
      <c r="V39" s="22">
        <f t="shared" si="80"/>
        <v>11135.74998</v>
      </c>
      <c r="W39" s="22">
        <f t="shared" si="80"/>
        <v>14346.78254</v>
      </c>
    </row>
    <row r="40" ht="15.75" customHeight="1">
      <c r="A40" s="16" t="s">
        <v>38</v>
      </c>
      <c r="B40" s="17">
        <v>43997.0</v>
      </c>
      <c r="C40" s="24">
        <v>307.05</v>
      </c>
      <c r="D40" s="19">
        <v>80.5</v>
      </c>
      <c r="E40" s="24">
        <v>150.81</v>
      </c>
      <c r="F40" s="21">
        <f t="shared" si="70"/>
        <v>0.1335629882</v>
      </c>
      <c r="G40" s="21">
        <f t="shared" si="71"/>
        <v>0.3234627525</v>
      </c>
      <c r="H40" s="21">
        <f t="shared" si="72"/>
        <v>0.3242142973</v>
      </c>
      <c r="I40" s="21">
        <f t="shared" si="73"/>
        <v>0.8734161491</v>
      </c>
      <c r="J40" s="21">
        <f t="shared" si="74"/>
        <v>0.5492018517</v>
      </c>
      <c r="K40" s="21"/>
      <c r="L40" s="21"/>
      <c r="M40" s="3"/>
      <c r="N40" s="3">
        <v>55.0</v>
      </c>
      <c r="O40" s="22">
        <f t="shared" si="75"/>
        <v>4427.5</v>
      </c>
      <c r="P40" s="22">
        <f t="shared" si="76"/>
        <v>8294.55</v>
      </c>
      <c r="Q40" s="22">
        <f t="shared" si="77"/>
        <v>4427.5</v>
      </c>
      <c r="R40" s="22">
        <f t="shared" si="78"/>
        <v>5862.958801</v>
      </c>
      <c r="S40" s="24">
        <f t="shared" si="79"/>
        <v>2.24</v>
      </c>
      <c r="T40" s="22"/>
      <c r="U40" s="22"/>
      <c r="V40" s="22"/>
      <c r="W40" s="22"/>
    </row>
    <row r="41" ht="9.0" customHeight="1">
      <c r="A41" s="16"/>
      <c r="B41" s="17"/>
      <c r="C41" s="24"/>
      <c r="D41" s="19"/>
      <c r="E41" s="24"/>
      <c r="F41" s="21"/>
      <c r="G41" s="21"/>
      <c r="H41" s="21"/>
      <c r="I41" s="21"/>
      <c r="J41" s="21"/>
      <c r="K41" s="21"/>
      <c r="L41" s="21"/>
      <c r="M41" s="3"/>
      <c r="N41" s="3"/>
      <c r="O41" s="22"/>
      <c r="P41" s="22"/>
      <c r="Q41" s="22"/>
      <c r="R41" s="22"/>
      <c r="S41" s="24"/>
      <c r="T41" s="22"/>
      <c r="U41" s="22"/>
      <c r="V41" s="22"/>
      <c r="W41" s="22"/>
    </row>
    <row r="42" ht="15.75" customHeight="1">
      <c r="A42" s="16" t="s">
        <v>39</v>
      </c>
      <c r="B42" s="17">
        <v>44481.0</v>
      </c>
      <c r="C42" s="24">
        <v>453.29</v>
      </c>
      <c r="D42" s="19">
        <v>144.5</v>
      </c>
      <c r="E42" s="24">
        <v>100.29</v>
      </c>
      <c r="F42" s="21">
        <f t="shared" ref="F42:F43" si="82">RRI($S42,$C42,$D$3)</f>
        <v>-0.112594252</v>
      </c>
      <c r="G42" s="21">
        <f t="shared" ref="G42:G43" si="83">RRI($S42,$D42,$E42)</f>
        <v>-0.3305732546</v>
      </c>
      <c r="H42" s="21">
        <f t="shared" ref="H42:H43" si="84">$D$3/C42-1</f>
        <v>-0.1030024929</v>
      </c>
      <c r="I42" s="21">
        <f t="shared" ref="I42:I43" si="85">E42/D42-1</f>
        <v>-0.3059515571</v>
      </c>
      <c r="J42" s="21">
        <f t="shared" ref="J42:J43" si="86">I42-H42</f>
        <v>-0.2029490642</v>
      </c>
      <c r="K42" s="21">
        <f>(U42/T42)-1</f>
        <v>-0.2493887734</v>
      </c>
      <c r="L42" s="21">
        <f>(W42/V42)-1</f>
        <v>-0.0598754482</v>
      </c>
      <c r="M42" s="21"/>
      <c r="N42" s="3">
        <v>76.0</v>
      </c>
      <c r="O42" s="22">
        <f t="shared" ref="O42:O43" si="87">N42*D42</f>
        <v>10982</v>
      </c>
      <c r="P42" s="22">
        <f t="shared" ref="P42:P43" si="88">N42*E42</f>
        <v>7622.04</v>
      </c>
      <c r="Q42" s="22">
        <f t="shared" ref="Q42:Q43" si="89">N42*C42/(C42/D42)</f>
        <v>10982</v>
      </c>
      <c r="R42" s="22">
        <f t="shared" ref="R42:R43" si="90">N42*$D$3/(C42/D42)</f>
        <v>9850.826623</v>
      </c>
      <c r="S42" s="24">
        <f t="shared" ref="S42:S43" si="91">ROUND(($B$3-B42)/365,2)</f>
        <v>0.91</v>
      </c>
      <c r="T42" s="22">
        <f t="shared" ref="T42:W42" si="81">SUM(O42:O43)</f>
        <v>14430</v>
      </c>
      <c r="U42" s="22">
        <f t="shared" si="81"/>
        <v>10831.32</v>
      </c>
      <c r="V42" s="22">
        <f t="shared" si="81"/>
        <v>14430</v>
      </c>
      <c r="W42" s="22">
        <f t="shared" si="81"/>
        <v>13565.99728</v>
      </c>
    </row>
    <row r="43" ht="15.75" customHeight="1">
      <c r="A43" s="16" t="s">
        <v>39</v>
      </c>
      <c r="B43" s="28">
        <v>44725.0</v>
      </c>
      <c r="C43" s="29">
        <v>377.36</v>
      </c>
      <c r="D43" s="30">
        <v>107.75</v>
      </c>
      <c r="E43" s="24">
        <v>100.29</v>
      </c>
      <c r="F43" s="21">
        <f t="shared" si="82"/>
        <v>0.3647338472</v>
      </c>
      <c r="G43" s="21">
        <f t="shared" si="83"/>
        <v>-0.2584027079</v>
      </c>
      <c r="H43" s="21">
        <f t="shared" si="84"/>
        <v>0.07748569006</v>
      </c>
      <c r="I43" s="21">
        <f t="shared" si="85"/>
        <v>-0.06923433875</v>
      </c>
      <c r="J43" s="21">
        <f t="shared" si="86"/>
        <v>-0.1467200288</v>
      </c>
      <c r="K43" s="21"/>
      <c r="L43" s="21"/>
      <c r="M43" s="21"/>
      <c r="N43" s="1">
        <v>32.0</v>
      </c>
      <c r="O43" s="22">
        <f t="shared" si="87"/>
        <v>3448</v>
      </c>
      <c r="P43" s="22">
        <f t="shared" si="88"/>
        <v>3209.28</v>
      </c>
      <c r="Q43" s="22">
        <f t="shared" si="89"/>
        <v>3448</v>
      </c>
      <c r="R43" s="22">
        <f t="shared" si="90"/>
        <v>3715.170659</v>
      </c>
      <c r="S43" s="24">
        <f t="shared" si="91"/>
        <v>0.24</v>
      </c>
      <c r="T43" s="22"/>
      <c r="U43" s="22"/>
      <c r="V43" s="22"/>
      <c r="W43" s="22"/>
    </row>
    <row r="44" ht="9.75" customHeight="1">
      <c r="A44" s="16"/>
      <c r="B44" s="17"/>
      <c r="C44" s="24"/>
      <c r="D44" s="19"/>
      <c r="E44" s="24"/>
      <c r="F44" s="21"/>
      <c r="G44" s="21"/>
      <c r="H44" s="21"/>
      <c r="I44" s="21"/>
      <c r="J44" s="21"/>
      <c r="K44" s="21"/>
      <c r="L44" s="21"/>
      <c r="M44" s="3"/>
      <c r="N44" s="3"/>
      <c r="O44" s="22"/>
      <c r="P44" s="22"/>
      <c r="Q44" s="22"/>
      <c r="R44" s="22"/>
      <c r="S44" s="24"/>
      <c r="T44" s="22"/>
      <c r="U44" s="22"/>
      <c r="V44" s="22"/>
      <c r="W44" s="22"/>
    </row>
    <row r="45" ht="15.75" customHeight="1">
      <c r="A45" s="16" t="s">
        <v>40</v>
      </c>
      <c r="B45" s="17">
        <v>44543.0</v>
      </c>
      <c r="C45" s="16">
        <v>466.57</v>
      </c>
      <c r="D45" s="19">
        <v>89.15</v>
      </c>
      <c r="E45" s="24">
        <v>92.43</v>
      </c>
      <c r="F45" s="21">
        <f t="shared" ref="F45:F47" si="92">RRI($S45,$C45,$D$3)</f>
        <v>-0.1696570198</v>
      </c>
      <c r="G45" s="21">
        <f t="shared" ref="G45:G47" si="93">RRI($S45,$D45,$E45)</f>
        <v>0.05003765237</v>
      </c>
      <c r="H45" s="21">
        <f t="shared" ref="H45:H47" si="94">$D$3/C45-1</f>
        <v>-0.1285337677</v>
      </c>
      <c r="I45" s="21">
        <f t="shared" ref="I45:I47" si="95">E45/D45-1</f>
        <v>0.03679192372</v>
      </c>
      <c r="J45" s="21">
        <f t="shared" ref="J45:J47" si="96">I45-H45</f>
        <v>0.1653256914</v>
      </c>
      <c r="K45" s="21"/>
      <c r="L45" s="21"/>
      <c r="M45" s="3"/>
      <c r="N45" s="3">
        <v>60.0</v>
      </c>
      <c r="O45" s="22">
        <f t="shared" ref="O45:O47" si="97">N45*D45</f>
        <v>5349</v>
      </c>
      <c r="P45" s="22">
        <f t="shared" ref="P45:P47" si="98">N45*E45</f>
        <v>5545.8</v>
      </c>
      <c r="Q45" s="22">
        <f t="shared" ref="Q45:Q47" si="99">N45*C45/(C45/D45)</f>
        <v>5349</v>
      </c>
      <c r="R45" s="22">
        <f t="shared" ref="R45:R47" si="100">N45*$D$3/(C45/D45)</f>
        <v>4661.472877</v>
      </c>
      <c r="S45" s="24">
        <f t="shared" ref="S45:S47" si="101">ROUND(($B$3-B45)/365,2)</f>
        <v>0.74</v>
      </c>
      <c r="T45" s="22"/>
      <c r="U45" s="22"/>
      <c r="V45" s="22"/>
      <c r="W45" s="22"/>
    </row>
    <row r="46" ht="15.75" customHeight="1">
      <c r="A46" s="16" t="s">
        <v>40</v>
      </c>
      <c r="B46" s="17">
        <v>44545.0</v>
      </c>
      <c r="C46" s="16">
        <v>470.6</v>
      </c>
      <c r="D46" s="19">
        <v>90.6575</v>
      </c>
      <c r="E46" s="24">
        <v>92.43</v>
      </c>
      <c r="F46" s="21">
        <f t="shared" si="92"/>
        <v>-0.1792515532</v>
      </c>
      <c r="G46" s="21">
        <f t="shared" si="93"/>
        <v>0.02651146242</v>
      </c>
      <c r="H46" s="21">
        <f t="shared" si="94"/>
        <v>-0.1359966001</v>
      </c>
      <c r="I46" s="21">
        <f t="shared" si="95"/>
        <v>0.01955160908</v>
      </c>
      <c r="J46" s="21">
        <f t="shared" si="96"/>
        <v>0.1555482092</v>
      </c>
      <c r="K46" s="21">
        <f>(U46/T46)-1</f>
        <v>0.06252440072</v>
      </c>
      <c r="L46" s="21">
        <f>(W46/V46)-1</f>
        <v>-0.1104580458</v>
      </c>
      <c r="M46" s="21"/>
      <c r="N46" s="16">
        <v>8.0</v>
      </c>
      <c r="O46" s="22">
        <f t="shared" si="97"/>
        <v>725.26</v>
      </c>
      <c r="P46" s="22">
        <f t="shared" si="98"/>
        <v>739.44</v>
      </c>
      <c r="Q46" s="22">
        <f t="shared" si="99"/>
        <v>725.26</v>
      </c>
      <c r="R46" s="22">
        <f t="shared" si="100"/>
        <v>626.6271058</v>
      </c>
      <c r="S46" s="24">
        <f t="shared" si="101"/>
        <v>0.74</v>
      </c>
      <c r="T46" s="22">
        <f t="shared" ref="T46:W46" si="102">SUM(O45:O47)</f>
        <v>9221.04</v>
      </c>
      <c r="U46" s="22">
        <f t="shared" si="102"/>
        <v>9797.58</v>
      </c>
      <c r="V46" s="22">
        <f t="shared" si="102"/>
        <v>9221.04</v>
      </c>
      <c r="W46" s="22">
        <f t="shared" si="102"/>
        <v>8202.501941</v>
      </c>
    </row>
    <row r="47" ht="15.75" customHeight="1">
      <c r="A47" s="16" t="s">
        <v>40</v>
      </c>
      <c r="B47" s="28">
        <v>44606.0</v>
      </c>
      <c r="C47" s="27">
        <v>439.02</v>
      </c>
      <c r="D47" s="30">
        <v>82.81</v>
      </c>
      <c r="E47" s="24">
        <v>92.43</v>
      </c>
      <c r="F47" s="21">
        <f t="shared" si="92"/>
        <v>-0.1259239035</v>
      </c>
      <c r="G47" s="21">
        <f t="shared" si="93"/>
        <v>0.2126546531</v>
      </c>
      <c r="H47" s="21">
        <f t="shared" si="94"/>
        <v>-0.07384629402</v>
      </c>
      <c r="I47" s="21">
        <f t="shared" si="95"/>
        <v>0.1161695447</v>
      </c>
      <c r="J47" s="21">
        <f t="shared" si="96"/>
        <v>0.1900158388</v>
      </c>
      <c r="K47" s="21"/>
      <c r="L47" s="21"/>
      <c r="M47" s="21"/>
      <c r="N47" s="27">
        <v>38.0</v>
      </c>
      <c r="O47" s="22">
        <f t="shared" si="97"/>
        <v>3146.78</v>
      </c>
      <c r="P47" s="22">
        <f t="shared" si="98"/>
        <v>3512.34</v>
      </c>
      <c r="Q47" s="22">
        <f t="shared" si="99"/>
        <v>3146.78</v>
      </c>
      <c r="R47" s="22">
        <f t="shared" si="100"/>
        <v>2914.401959</v>
      </c>
      <c r="S47" s="24">
        <f t="shared" si="101"/>
        <v>0.57</v>
      </c>
      <c r="T47" s="22"/>
      <c r="U47" s="22"/>
      <c r="V47" s="22"/>
      <c r="W47" s="22"/>
    </row>
    <row r="48" ht="6.0" customHeight="1">
      <c r="A48" s="16"/>
      <c r="B48" s="17"/>
      <c r="C48" s="24"/>
      <c r="D48" s="19"/>
      <c r="E48" s="24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2"/>
      <c r="R48" s="22"/>
      <c r="S48" s="3"/>
      <c r="T48" s="22"/>
      <c r="U48" s="22"/>
      <c r="V48" s="22"/>
      <c r="W48" s="22"/>
    </row>
    <row r="49" ht="15.75" customHeight="1">
      <c r="A49" s="27" t="s">
        <v>41</v>
      </c>
      <c r="B49" s="28">
        <v>44788.0</v>
      </c>
      <c r="C49" s="30">
        <v>426.24</v>
      </c>
      <c r="D49" s="30">
        <v>248.75</v>
      </c>
      <c r="E49" s="24">
        <v>233.57</v>
      </c>
      <c r="F49" s="21">
        <f>RRI($S49,$C49,$D$3)</f>
        <v>-0.4902807723</v>
      </c>
      <c r="G49" s="21">
        <f>RRI($S49,$D49,$E49)</f>
        <v>-0.593236058</v>
      </c>
      <c r="H49" s="21">
        <f>$D$3/C49-1</f>
        <v>-0.04607732733</v>
      </c>
      <c r="I49" s="21">
        <f>E49/D49-1</f>
        <v>-0.06102512563</v>
      </c>
      <c r="J49" s="21">
        <f>I49-H49</f>
        <v>-0.0149477983</v>
      </c>
      <c r="K49" s="21">
        <f>(U49/T49)-1</f>
        <v>-0.06102512563</v>
      </c>
      <c r="L49" s="21">
        <f>(W49/V49)-1</f>
        <v>-0.04607732733</v>
      </c>
      <c r="M49" s="21"/>
      <c r="N49" s="1">
        <v>53.0</v>
      </c>
      <c r="O49" s="22">
        <f>N49*D49</f>
        <v>13183.75</v>
      </c>
      <c r="P49" s="22">
        <f>N49*E49</f>
        <v>12379.21</v>
      </c>
      <c r="Q49" s="22">
        <f>N49*C49/(C49/D49)</f>
        <v>13183.75</v>
      </c>
      <c r="R49" s="22">
        <f>N49*$D$3/(C49/D49)</f>
        <v>12576.27804</v>
      </c>
      <c r="S49" s="24">
        <f>ROUND(($B$3-B49)/365,2)</f>
        <v>0.07</v>
      </c>
      <c r="T49" s="22">
        <f>SUM(O49)</f>
        <v>13183.75</v>
      </c>
      <c r="U49" s="22">
        <f t="shared" ref="U49:W49" si="103">SUM(P49:P50)</f>
        <v>12379.21</v>
      </c>
      <c r="V49" s="22">
        <f t="shared" si="103"/>
        <v>13183.75</v>
      </c>
      <c r="W49" s="22">
        <f t="shared" si="103"/>
        <v>12576.27804</v>
      </c>
    </row>
    <row r="50" ht="9.0" customHeight="1">
      <c r="A50" s="16"/>
      <c r="B50" s="31"/>
      <c r="C50" s="16"/>
      <c r="D50" s="19"/>
      <c r="E50" s="24"/>
      <c r="F50" s="21"/>
      <c r="G50" s="21"/>
      <c r="H50" s="21"/>
      <c r="I50" s="21"/>
      <c r="J50" s="21"/>
      <c r="K50" s="21"/>
      <c r="L50" s="21"/>
      <c r="M50" s="21"/>
      <c r="N50" s="3"/>
      <c r="O50" s="22"/>
      <c r="P50" s="22"/>
      <c r="Q50" s="22"/>
      <c r="R50" s="22"/>
      <c r="S50" s="24"/>
      <c r="T50" s="22"/>
      <c r="U50" s="22"/>
      <c r="V50" s="22"/>
      <c r="W50" s="22"/>
    </row>
    <row r="51" ht="15.75" customHeight="1">
      <c r="A51" s="16" t="s">
        <v>42</v>
      </c>
      <c r="B51" s="31">
        <v>44571.0</v>
      </c>
      <c r="C51" s="16">
        <v>465.51</v>
      </c>
      <c r="D51" s="19">
        <v>62.35</v>
      </c>
      <c r="E51" s="24">
        <v>56.59</v>
      </c>
      <c r="F51" s="21">
        <f t="shared" ref="F51:F53" si="105">RRI($S51,$C51,$D$3)</f>
        <v>-0.182860774</v>
      </c>
      <c r="G51" s="21">
        <f t="shared" ref="G51:G53" si="106">RRI($S51,$D51,$E51)</f>
        <v>-0.1346954066</v>
      </c>
      <c r="H51" s="21">
        <f t="shared" ref="H51:H53" si="107">$D$3/C51-1</f>
        <v>-0.126549376</v>
      </c>
      <c r="I51" s="21">
        <f t="shared" ref="I51:I53" si="108">E51/D51-1</f>
        <v>-0.09238171612</v>
      </c>
      <c r="J51" s="21">
        <f t="shared" ref="J51:J53" si="109">I51-H51</f>
        <v>0.03416765983</v>
      </c>
      <c r="K51" s="21">
        <f>(U51/T51)-1</f>
        <v>-0.04545005089</v>
      </c>
      <c r="L51" s="21">
        <f>(W51/V51)-1</f>
        <v>-0.06222215878</v>
      </c>
      <c r="M51" s="21"/>
      <c r="N51" s="3">
        <v>22.0</v>
      </c>
      <c r="O51" s="22">
        <f t="shared" ref="O51:O53" si="110">N51*D51</f>
        <v>1371.7</v>
      </c>
      <c r="P51" s="22">
        <f t="shared" ref="P51:P53" si="111">N51*E51</f>
        <v>1244.98</v>
      </c>
      <c r="Q51" s="22">
        <f t="shared" ref="Q51:Q53" si="112">N51*C51/(C51/D51)</f>
        <v>1371.7</v>
      </c>
      <c r="R51" s="22">
        <f t="shared" ref="R51:R53" si="113">N51*$D$3/(C51/D51)</f>
        <v>1198.112221</v>
      </c>
      <c r="S51" s="24">
        <f t="shared" ref="S51:S53" si="114">ROUND(($B$3-B51)/365,2)</f>
        <v>0.67</v>
      </c>
      <c r="T51" s="22">
        <f t="shared" ref="T51:W51" si="104">SUM(O51:O53)</f>
        <v>10315.5</v>
      </c>
      <c r="U51" s="22">
        <f t="shared" si="104"/>
        <v>9846.66</v>
      </c>
      <c r="V51" s="22">
        <f t="shared" si="104"/>
        <v>10315.5</v>
      </c>
      <c r="W51" s="22">
        <f t="shared" si="104"/>
        <v>9673.647321</v>
      </c>
    </row>
    <row r="52" ht="15.75" customHeight="1">
      <c r="A52" s="16" t="s">
        <v>42</v>
      </c>
      <c r="B52" s="32">
        <v>44606.0</v>
      </c>
      <c r="C52" s="27">
        <v>439.02</v>
      </c>
      <c r="D52" s="30">
        <v>59.8</v>
      </c>
      <c r="E52" s="24">
        <v>56.59</v>
      </c>
      <c r="F52" s="21">
        <f t="shared" si="105"/>
        <v>-0.1259239035</v>
      </c>
      <c r="G52" s="21">
        <f t="shared" si="106"/>
        <v>-0.09225827586</v>
      </c>
      <c r="H52" s="21">
        <f t="shared" si="107"/>
        <v>-0.07384629402</v>
      </c>
      <c r="I52" s="21">
        <f t="shared" si="108"/>
        <v>-0.05367892977</v>
      </c>
      <c r="J52" s="21">
        <f t="shared" si="109"/>
        <v>0.02016736425</v>
      </c>
      <c r="K52" s="21"/>
      <c r="L52" s="21"/>
      <c r="M52" s="21"/>
      <c r="N52" s="1">
        <v>125.0</v>
      </c>
      <c r="O52" s="22">
        <f t="shared" si="110"/>
        <v>7475</v>
      </c>
      <c r="P52" s="22">
        <f t="shared" si="111"/>
        <v>7073.75</v>
      </c>
      <c r="Q52" s="22">
        <f t="shared" si="112"/>
        <v>7475</v>
      </c>
      <c r="R52" s="22">
        <f t="shared" si="113"/>
        <v>6922.998952</v>
      </c>
      <c r="S52" s="24">
        <f t="shared" si="114"/>
        <v>0.57</v>
      </c>
      <c r="T52" s="22"/>
      <c r="U52" s="22"/>
      <c r="V52" s="22"/>
      <c r="W52" s="22"/>
    </row>
    <row r="53" ht="15.75" customHeight="1">
      <c r="A53" s="16" t="s">
        <v>42</v>
      </c>
      <c r="B53" s="32">
        <v>44753.0</v>
      </c>
      <c r="C53" s="27">
        <v>384.67</v>
      </c>
      <c r="D53" s="30">
        <v>54.4</v>
      </c>
      <c r="E53" s="24">
        <v>56.59</v>
      </c>
      <c r="F53" s="21">
        <f t="shared" si="105"/>
        <v>0.3856116009</v>
      </c>
      <c r="G53" s="21">
        <f t="shared" si="106"/>
        <v>0.2613284784</v>
      </c>
      <c r="H53" s="21">
        <f t="shared" si="107"/>
        <v>0.05700990459</v>
      </c>
      <c r="I53" s="21">
        <f t="shared" si="108"/>
        <v>0.04025735294</v>
      </c>
      <c r="J53" s="21">
        <f t="shared" si="109"/>
        <v>-0.01675255165</v>
      </c>
      <c r="K53" s="21"/>
      <c r="L53" s="21"/>
      <c r="M53" s="21"/>
      <c r="N53" s="1">
        <v>27.0</v>
      </c>
      <c r="O53" s="22">
        <f t="shared" si="110"/>
        <v>1468.8</v>
      </c>
      <c r="P53" s="22">
        <f t="shared" si="111"/>
        <v>1527.93</v>
      </c>
      <c r="Q53" s="22">
        <f t="shared" si="112"/>
        <v>1468.8</v>
      </c>
      <c r="R53" s="22">
        <f t="shared" si="113"/>
        <v>1552.536148</v>
      </c>
      <c r="S53" s="24">
        <f t="shared" si="114"/>
        <v>0.17</v>
      </c>
      <c r="T53" s="22"/>
      <c r="U53" s="22"/>
      <c r="V53" s="22"/>
      <c r="W53" s="22"/>
    </row>
    <row r="54" ht="6.0" customHeight="1">
      <c r="A54" s="16"/>
      <c r="B54" s="17"/>
      <c r="C54" s="19"/>
      <c r="D54" s="19"/>
      <c r="E54" s="24"/>
      <c r="F54" s="26"/>
      <c r="G54" s="21"/>
      <c r="H54" s="26"/>
      <c r="I54" s="21"/>
      <c r="J54" s="21"/>
      <c r="K54" s="21"/>
      <c r="L54" s="21"/>
      <c r="M54" s="21"/>
      <c r="N54" s="21"/>
      <c r="O54" s="22"/>
      <c r="P54" s="22"/>
      <c r="Q54" s="22"/>
      <c r="R54" s="22"/>
      <c r="S54" s="3"/>
      <c r="T54" s="22"/>
      <c r="U54" s="22"/>
      <c r="V54" s="22"/>
      <c r="W54" s="22"/>
    </row>
    <row r="55" ht="15.75" customHeight="1">
      <c r="A55" s="16" t="s">
        <v>43</v>
      </c>
      <c r="B55" s="17">
        <v>42926.0</v>
      </c>
      <c r="C55" s="19">
        <v>242.37</v>
      </c>
      <c r="D55" s="19">
        <v>50.751765</v>
      </c>
      <c r="E55" s="24">
        <v>200.92</v>
      </c>
      <c r="F55" s="26">
        <f t="shared" ref="F55:F56" si="115">RRI($S55,$C55,$D$3)</f>
        <v>0.1052488208</v>
      </c>
      <c r="G55" s="21">
        <f t="shared" ref="G55:G56" si="116">RRI($S55,$D55,$E55)</f>
        <v>0.3049219301</v>
      </c>
      <c r="H55" s="26">
        <f t="shared" ref="H55:H56" si="117">$D$3/C55-1</f>
        <v>0.6776003631</v>
      </c>
      <c r="I55" s="21">
        <f t="shared" ref="I55:I56" si="118">E55/D55-1</f>
        <v>2.958877095</v>
      </c>
      <c r="J55" s="21">
        <f t="shared" ref="J55:J56" si="119">I55-H55</f>
        <v>2.281276732</v>
      </c>
      <c r="K55" s="21"/>
      <c r="L55" s="21"/>
      <c r="M55" s="3"/>
      <c r="N55" s="3">
        <v>85.0</v>
      </c>
      <c r="O55" s="22">
        <f t="shared" ref="O55:O56" si="120">N55*D55</f>
        <v>4313.900025</v>
      </c>
      <c r="P55" s="22">
        <f t="shared" ref="P55:P56" si="121">N55*E55</f>
        <v>17078.2</v>
      </c>
      <c r="Q55" s="22">
        <f t="shared" ref="Q55:Q56" si="122">N55*C55/(C55/D55)</f>
        <v>4313.900025</v>
      </c>
      <c r="R55" s="22">
        <f t="shared" ref="R55:R56" si="123">N55*$D$3/(C55/D55)</f>
        <v>7237.000248</v>
      </c>
      <c r="S55" s="24">
        <f t="shared" ref="S55:S56" si="124">ROUND(($B$3-B55)/365,2)</f>
        <v>5.17</v>
      </c>
      <c r="T55" s="22"/>
      <c r="U55" s="22"/>
      <c r="V55" s="22"/>
      <c r="W55" s="22"/>
    </row>
    <row r="56" ht="15.75" customHeight="1">
      <c r="A56" s="16" t="s">
        <v>43</v>
      </c>
      <c r="B56" s="17">
        <v>43906.0</v>
      </c>
      <c r="C56" s="19">
        <v>239.85</v>
      </c>
      <c r="D56" s="19">
        <v>72.0</v>
      </c>
      <c r="E56" s="24">
        <v>200.92</v>
      </c>
      <c r="F56" s="26">
        <f t="shared" si="115"/>
        <v>0.236116199</v>
      </c>
      <c r="G56" s="21">
        <f t="shared" si="116"/>
        <v>0.5100531659</v>
      </c>
      <c r="H56" s="26">
        <f t="shared" si="117"/>
        <v>0.695226183</v>
      </c>
      <c r="I56" s="21">
        <f t="shared" si="118"/>
        <v>1.790555556</v>
      </c>
      <c r="J56" s="21">
        <f t="shared" si="119"/>
        <v>1.095329373</v>
      </c>
      <c r="K56" s="21">
        <f>(U56/T56)-1</f>
        <v>2.763927443</v>
      </c>
      <c r="L56" s="21">
        <f>(W56/V56)-1</f>
        <v>0.6805414605</v>
      </c>
      <c r="M56" s="21"/>
      <c r="N56" s="3">
        <v>12.0</v>
      </c>
      <c r="O56" s="22">
        <f t="shared" si="120"/>
        <v>864</v>
      </c>
      <c r="P56" s="22">
        <f t="shared" si="121"/>
        <v>2411.04</v>
      </c>
      <c r="Q56" s="22">
        <f t="shared" si="122"/>
        <v>864</v>
      </c>
      <c r="R56" s="22">
        <f t="shared" si="123"/>
        <v>1464.675422</v>
      </c>
      <c r="S56" s="24">
        <f t="shared" si="124"/>
        <v>2.49</v>
      </c>
      <c r="T56" s="22">
        <f t="shared" ref="T56:W56" si="125">SUM(O55:O56)</f>
        <v>5177.900025</v>
      </c>
      <c r="U56" s="22">
        <f t="shared" si="125"/>
        <v>19489.24</v>
      </c>
      <c r="V56" s="22">
        <f t="shared" si="125"/>
        <v>5177.900025</v>
      </c>
      <c r="W56" s="22">
        <f t="shared" si="125"/>
        <v>8701.67567</v>
      </c>
    </row>
    <row r="57" ht="6.0" customHeight="1">
      <c r="A57" s="16"/>
      <c r="B57" s="17"/>
      <c r="C57" s="24"/>
      <c r="D57" s="19"/>
      <c r="E57" s="24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2"/>
      <c r="Q57" s="22"/>
      <c r="R57" s="22"/>
      <c r="S57" s="3"/>
      <c r="T57" s="22"/>
      <c r="U57" s="22"/>
      <c r="V57" s="22"/>
      <c r="W57" s="22"/>
    </row>
    <row r="58" ht="15.75" customHeight="1">
      <c r="A58" s="16" t="s">
        <v>44</v>
      </c>
      <c r="B58" s="17">
        <v>40525.0</v>
      </c>
      <c r="C58" s="19">
        <v>125.72</v>
      </c>
      <c r="D58" s="19">
        <v>20.3</v>
      </c>
      <c r="E58" s="24">
        <v>205.2</v>
      </c>
      <c r="F58" s="26">
        <f t="shared" ref="F58:F59" si="126">RRI($S58,$C58,$D$3)</f>
        <v>0.1050554868</v>
      </c>
      <c r="G58" s="21">
        <f t="shared" ref="G58:G59" si="127">RRI($S58,$D58,$E58)</f>
        <v>0.2176004307</v>
      </c>
      <c r="H58" s="26">
        <f t="shared" ref="H58:H59" si="128">$D$3/C58-1</f>
        <v>2.234171174</v>
      </c>
      <c r="I58" s="21">
        <f t="shared" ref="I58:I59" si="129">E58/D58-1</f>
        <v>9.108374384</v>
      </c>
      <c r="J58" s="21">
        <f t="shared" ref="J58:J59" si="130">I58-H58</f>
        <v>6.87420321</v>
      </c>
      <c r="K58" s="21"/>
      <c r="L58" s="21"/>
      <c r="M58" s="3"/>
      <c r="N58" s="3">
        <v>28.0</v>
      </c>
      <c r="O58" s="22">
        <f t="shared" ref="O58:O59" si="131">N58*D58</f>
        <v>568.4</v>
      </c>
      <c r="P58" s="22">
        <f t="shared" ref="P58:P59" si="132">N58*E58</f>
        <v>5745.6</v>
      </c>
      <c r="Q58" s="22">
        <f t="shared" ref="Q58:Q59" si="133">N58*C58/(C58/D58)</f>
        <v>568.4</v>
      </c>
      <c r="R58" s="22">
        <f t="shared" ref="R58:R59" si="134">N58*$D$3/(C58/D58)</f>
        <v>1838.302895</v>
      </c>
      <c r="S58" s="24">
        <f t="shared" ref="S58:S59" si="135">ROUND(($B$3-B58)/365,2)</f>
        <v>11.75</v>
      </c>
      <c r="T58" s="22"/>
      <c r="U58" s="22"/>
      <c r="V58" s="22"/>
      <c r="W58" s="22"/>
    </row>
    <row r="59" ht="15.75" customHeight="1">
      <c r="A59" s="16" t="s">
        <v>44</v>
      </c>
      <c r="B59" s="17">
        <v>40588.0</v>
      </c>
      <c r="C59" s="19">
        <v>133.43</v>
      </c>
      <c r="D59" s="19">
        <v>18.95125</v>
      </c>
      <c r="E59" s="24">
        <v>205.2</v>
      </c>
      <c r="F59" s="26">
        <f t="shared" si="126"/>
        <v>0.1010036636</v>
      </c>
      <c r="G59" s="21">
        <f t="shared" si="127"/>
        <v>0.2283962193</v>
      </c>
      <c r="H59" s="26">
        <f t="shared" si="128"/>
        <v>2.047290714</v>
      </c>
      <c r="I59" s="21">
        <f t="shared" si="129"/>
        <v>9.827781809</v>
      </c>
      <c r="J59" s="21">
        <f t="shared" si="130"/>
        <v>7.780491094</v>
      </c>
      <c r="K59" s="21">
        <f>(U59/T59)-1</f>
        <v>9.479724899</v>
      </c>
      <c r="L59" s="21">
        <f>(W59/V59)-1</f>
        <v>2.137705454</v>
      </c>
      <c r="M59" s="21"/>
      <c r="N59" s="3">
        <v>32.0</v>
      </c>
      <c r="O59" s="22">
        <f t="shared" si="131"/>
        <v>606.44</v>
      </c>
      <c r="P59" s="22">
        <f t="shared" si="132"/>
        <v>6566.4</v>
      </c>
      <c r="Q59" s="22">
        <f t="shared" si="133"/>
        <v>606.44</v>
      </c>
      <c r="R59" s="22">
        <f t="shared" si="134"/>
        <v>1847.998981</v>
      </c>
      <c r="S59" s="24">
        <f t="shared" si="135"/>
        <v>11.58</v>
      </c>
      <c r="T59" s="22">
        <f t="shared" ref="T59:W59" si="136">SUM(O58:O59)</f>
        <v>1174.84</v>
      </c>
      <c r="U59" s="22">
        <f t="shared" si="136"/>
        <v>12312</v>
      </c>
      <c r="V59" s="22">
        <f t="shared" si="136"/>
        <v>1174.84</v>
      </c>
      <c r="W59" s="22">
        <f t="shared" si="136"/>
        <v>3686.301876</v>
      </c>
    </row>
    <row r="60" ht="7.5" customHeight="1">
      <c r="A60" s="16"/>
      <c r="B60" s="17"/>
      <c r="C60" s="19"/>
      <c r="D60" s="19"/>
      <c r="E60" s="24"/>
      <c r="F60" s="26"/>
      <c r="G60" s="21"/>
      <c r="H60" s="26"/>
      <c r="I60" s="21"/>
      <c r="J60" s="21"/>
      <c r="K60" s="21"/>
      <c r="L60" s="21"/>
      <c r="M60" s="21"/>
      <c r="N60" s="3"/>
      <c r="O60" s="22"/>
      <c r="P60" s="22"/>
      <c r="Q60" s="22"/>
      <c r="R60" s="22"/>
      <c r="S60" s="24"/>
      <c r="T60" s="22"/>
      <c r="U60" s="22"/>
      <c r="V60" s="22"/>
      <c r="W60" s="22"/>
    </row>
    <row r="61" ht="15.75" customHeight="1">
      <c r="A61" s="27" t="s">
        <v>45</v>
      </c>
      <c r="B61" s="28">
        <v>44697.0</v>
      </c>
      <c r="C61" s="30">
        <v>400.09</v>
      </c>
      <c r="D61" s="30">
        <v>46.95</v>
      </c>
      <c r="E61" s="24">
        <v>38.63</v>
      </c>
      <c r="F61" s="21">
        <f t="shared" ref="F61:F62" si="138">RRI($S61,$C61,$D$3)</f>
        <v>0.05173237505</v>
      </c>
      <c r="G61" s="21">
        <f t="shared" ref="G61:G62" si="139">RRI($S61,$D61,$E61)</f>
        <v>-0.4564012198</v>
      </c>
      <c r="H61" s="21">
        <f t="shared" ref="H61:H62" si="140">$D$3/C61-1</f>
        <v>0.01627133895</v>
      </c>
      <c r="I61" s="21">
        <f t="shared" ref="I61:I62" si="141">E61/D61-1</f>
        <v>-0.1772097977</v>
      </c>
      <c r="J61" s="21">
        <f t="shared" ref="J61:J62" si="142">I61-H61</f>
        <v>-0.1934811366</v>
      </c>
      <c r="K61" s="21">
        <f>(U61/T61)-1</f>
        <v>-0.1449901044</v>
      </c>
      <c r="L61" s="21">
        <f>(W61/V61)-1</f>
        <v>0.038393564</v>
      </c>
      <c r="M61" s="21"/>
      <c r="N61" s="1">
        <v>169.0</v>
      </c>
      <c r="O61" s="22">
        <f t="shared" ref="O61:O62" si="143">N61*D61</f>
        <v>7934.55</v>
      </c>
      <c r="P61" s="22">
        <f t="shared" ref="P61:P62" si="144">N61*E61</f>
        <v>6528.47</v>
      </c>
      <c r="Q61" s="22">
        <f t="shared" ref="Q61:Q62" si="145">N61*C61/(C61/D61)</f>
        <v>7934.55</v>
      </c>
      <c r="R61" s="22">
        <f t="shared" ref="R61:R62" si="146">N61*$D$3/(C61/D61)</f>
        <v>8063.655752</v>
      </c>
      <c r="S61" s="24">
        <f t="shared" ref="S61:S62" si="147">ROUND(($B$3-B61)/365,2)</f>
        <v>0.32</v>
      </c>
      <c r="T61" s="22">
        <f t="shared" ref="T61:W61" si="137">SUM(O61:O62)</f>
        <v>12424.71</v>
      </c>
      <c r="U61" s="22">
        <f t="shared" si="137"/>
        <v>10623.25</v>
      </c>
      <c r="V61" s="22">
        <f t="shared" si="137"/>
        <v>12424.71</v>
      </c>
      <c r="W61" s="22">
        <f t="shared" si="137"/>
        <v>12901.7389</v>
      </c>
    </row>
    <row r="62" ht="15.75" customHeight="1">
      <c r="A62" s="27" t="s">
        <v>45</v>
      </c>
      <c r="B62" s="28">
        <v>44725.0</v>
      </c>
      <c r="C62" s="30">
        <v>377.36</v>
      </c>
      <c r="D62" s="30">
        <v>42.36</v>
      </c>
      <c r="E62" s="24">
        <v>38.63</v>
      </c>
      <c r="F62" s="21">
        <f t="shared" si="138"/>
        <v>0.3647338472</v>
      </c>
      <c r="G62" s="21">
        <f t="shared" si="139"/>
        <v>-0.3189121186</v>
      </c>
      <c r="H62" s="21">
        <f t="shared" si="140"/>
        <v>0.07748569006</v>
      </c>
      <c r="I62" s="21">
        <f t="shared" si="141"/>
        <v>-0.08805476865</v>
      </c>
      <c r="J62" s="21">
        <f t="shared" si="142"/>
        <v>-0.1655404587</v>
      </c>
      <c r="K62" s="21"/>
      <c r="L62" s="21"/>
      <c r="M62" s="21"/>
      <c r="N62" s="1">
        <v>106.0</v>
      </c>
      <c r="O62" s="22">
        <f t="shared" si="143"/>
        <v>4490.16</v>
      </c>
      <c r="P62" s="22">
        <f t="shared" si="144"/>
        <v>4094.78</v>
      </c>
      <c r="Q62" s="22">
        <f t="shared" si="145"/>
        <v>4490.16</v>
      </c>
      <c r="R62" s="22">
        <f t="shared" si="146"/>
        <v>4838.083146</v>
      </c>
      <c r="S62" s="24">
        <f t="shared" si="147"/>
        <v>0.24</v>
      </c>
      <c r="T62" s="22"/>
      <c r="U62" s="22"/>
      <c r="V62" s="22"/>
      <c r="W62" s="22"/>
    </row>
    <row r="63" ht="15.75" customHeight="1">
      <c r="A63" s="16"/>
      <c r="B63" s="17"/>
      <c r="C63" s="19"/>
      <c r="D63" s="19"/>
      <c r="E63" s="24"/>
      <c r="F63" s="26"/>
      <c r="G63" s="21"/>
      <c r="H63" s="26"/>
      <c r="I63" s="21"/>
      <c r="J63" s="21"/>
      <c r="K63" s="21"/>
      <c r="L63" s="21"/>
      <c r="M63" s="21"/>
      <c r="N63" s="3"/>
      <c r="O63" s="22"/>
      <c r="P63" s="22"/>
      <c r="Q63" s="22"/>
      <c r="R63" s="22"/>
      <c r="S63" s="24"/>
      <c r="T63" s="22"/>
      <c r="U63" s="22"/>
      <c r="V63" s="22"/>
      <c r="W63" s="22"/>
    </row>
    <row r="64" ht="15.75" customHeight="1">
      <c r="A64" s="16"/>
      <c r="B64" s="17"/>
      <c r="C64" s="19"/>
      <c r="D64" s="19"/>
      <c r="E64" s="24"/>
      <c r="F64" s="26"/>
      <c r="G64" s="21"/>
      <c r="H64" s="26"/>
      <c r="I64" s="21"/>
      <c r="J64" s="21"/>
      <c r="K64" s="21">
        <f>P64/O64-1</f>
        <v>0.4118542297</v>
      </c>
      <c r="L64" s="21">
        <f>R64/Q64-1</f>
        <v>0.1196602943</v>
      </c>
      <c r="M64" s="3"/>
      <c r="N64" s="3"/>
      <c r="O64" s="22">
        <f t="shared" ref="O64:R64" si="148">SUM(O4:O62)</f>
        <v>158975.3893</v>
      </c>
      <c r="P64" s="22">
        <f t="shared" si="148"/>
        <v>224450.0757</v>
      </c>
      <c r="Q64" s="22">
        <f t="shared" si="148"/>
        <v>158975.3893</v>
      </c>
      <c r="R64" s="22">
        <f t="shared" si="148"/>
        <v>177998.4311</v>
      </c>
      <c r="S64" s="24"/>
      <c r="T64" s="22">
        <f t="shared" ref="T64:W64" si="149">SUM(T4:T62)</f>
        <v>158975.3893</v>
      </c>
      <c r="U64" s="22">
        <f t="shared" si="149"/>
        <v>224450.0757</v>
      </c>
      <c r="V64" s="22">
        <f t="shared" si="149"/>
        <v>158975.3893</v>
      </c>
      <c r="W64" s="22">
        <f t="shared" si="149"/>
        <v>177998.4311</v>
      </c>
    </row>
    <row r="65" ht="6.0" customHeight="1"/>
    <row r="66" ht="15.75" customHeight="1">
      <c r="J66" s="3"/>
      <c r="K66" s="33"/>
      <c r="L66" s="34"/>
      <c r="M66" s="34"/>
      <c r="N66" s="34"/>
      <c r="O66" s="34"/>
      <c r="P66" s="34"/>
      <c r="Q66" s="34"/>
      <c r="R66" s="34"/>
      <c r="T66" s="35" t="s">
        <v>46</v>
      </c>
    </row>
    <row r="67" ht="15.75" customHeight="1"/>
    <row r="68" ht="15.75" customHeight="1">
      <c r="A68" s="3" t="s">
        <v>47</v>
      </c>
    </row>
    <row r="69" ht="15.75" customHeight="1"/>
    <row r="70" ht="15.75" customHeight="1"/>
    <row r="71" ht="15.75" customHeight="1">
      <c r="A71" s="36" t="s">
        <v>4</v>
      </c>
      <c r="B71" s="37">
        <f>B3</f>
        <v>44814</v>
      </c>
      <c r="C71" s="38" t="s">
        <v>5</v>
      </c>
      <c r="D71" s="39">
        <f>D3</f>
        <v>406.6</v>
      </c>
      <c r="E71" s="40"/>
      <c r="F71" s="40"/>
      <c r="G71" s="40"/>
      <c r="H71" s="40"/>
      <c r="I71" s="41"/>
    </row>
    <row r="72" ht="15.75" customHeight="1">
      <c r="A72" s="42" t="s">
        <v>7</v>
      </c>
      <c r="B72" s="43" t="s">
        <v>48</v>
      </c>
      <c r="C72" s="42" t="s">
        <v>17</v>
      </c>
      <c r="D72" s="42" t="s">
        <v>18</v>
      </c>
      <c r="E72" s="42" t="s">
        <v>49</v>
      </c>
      <c r="F72" s="42" t="s">
        <v>50</v>
      </c>
      <c r="G72" s="42" t="s">
        <v>51</v>
      </c>
      <c r="H72" s="42" t="s">
        <v>52</v>
      </c>
      <c r="I72" s="44"/>
      <c r="J72" s="45" t="s">
        <v>53</v>
      </c>
      <c r="K72" s="46"/>
      <c r="L72" s="47" t="s">
        <v>54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ht="15.75" customHeight="1">
      <c r="A73" s="48" t="s">
        <v>29</v>
      </c>
      <c r="B73" s="49">
        <f>SUM(N6)</f>
        <v>94</v>
      </c>
      <c r="C73" s="50">
        <f t="shared" ref="C73:D73" si="150">K6</f>
        <v>0.1960443801</v>
      </c>
      <c r="D73" s="50">
        <f t="shared" si="150"/>
        <v>0.02570570874</v>
      </c>
      <c r="E73" s="50">
        <f t="shared" ref="E73:E89" si="152">C73-D73</f>
        <v>0.1703386714</v>
      </c>
      <c r="F73" s="50">
        <f>L73/E6</f>
        <v>0.01613293539</v>
      </c>
      <c r="G73" s="50">
        <f t="shared" ref="G73:G89" si="153">E73+F73</f>
        <v>0.1864716068</v>
      </c>
      <c r="H73" s="50">
        <f>U6/P$64</f>
        <v>0.05191880627</v>
      </c>
      <c r="I73" s="41"/>
      <c r="J73" s="51">
        <f>U6/B$95</f>
        <v>0.05158520673</v>
      </c>
      <c r="K73" s="52">
        <f t="shared" ref="K73:K89" si="154">F73*H73</f>
        <v>0.000837602747</v>
      </c>
      <c r="L73" s="2">
        <v>2.0</v>
      </c>
      <c r="N73" s="35">
        <f t="shared" ref="N73:N76" si="155">L73*B73</f>
        <v>188</v>
      </c>
    </row>
    <row r="74" ht="15.75" customHeight="1">
      <c r="A74" s="48" t="s">
        <v>30</v>
      </c>
      <c r="B74" s="49">
        <f>SUM(N8:N9)</f>
        <v>90</v>
      </c>
      <c r="C74" s="50">
        <f t="shared" ref="C74:D74" si="151">K9</f>
        <v>2.020848384</v>
      </c>
      <c r="D74" s="50">
        <f t="shared" si="151"/>
        <v>0.5950648171</v>
      </c>
      <c r="E74" s="50">
        <f t="shared" si="152"/>
        <v>1.425783567</v>
      </c>
      <c r="F74" s="50">
        <f>L74/E8</f>
        <v>0.008897516784</v>
      </c>
      <c r="G74" s="50">
        <f t="shared" si="153"/>
        <v>1.434681084</v>
      </c>
      <c r="H74" s="50">
        <f>U9/P$64</f>
        <v>0.09914632431</v>
      </c>
      <c r="I74" s="41"/>
      <c r="J74" s="51">
        <f>U9/B$95</f>
        <v>0.09850926866</v>
      </c>
      <c r="K74" s="52">
        <f t="shared" si="154"/>
        <v>0.0008821560846</v>
      </c>
      <c r="L74" s="2">
        <v>2.2</v>
      </c>
      <c r="N74" s="35">
        <f t="shared" si="155"/>
        <v>198</v>
      </c>
    </row>
    <row r="75" ht="15.75" customHeight="1">
      <c r="A75" s="48" t="s">
        <v>31</v>
      </c>
      <c r="B75" s="49">
        <f>SUM(N11:N13)</f>
        <v>199.278</v>
      </c>
      <c r="C75" s="50">
        <f t="shared" ref="C75:D75" si="156">K12</f>
        <v>0.07386238334</v>
      </c>
      <c r="D75" s="50">
        <f t="shared" si="156"/>
        <v>0.05675715889</v>
      </c>
      <c r="E75" s="50">
        <f t="shared" si="152"/>
        <v>0.01710522446</v>
      </c>
      <c r="F75" s="50">
        <f>L75/E11</f>
        <v>0.01227328515</v>
      </c>
      <c r="G75" s="50">
        <f t="shared" si="153"/>
        <v>0.02937850961</v>
      </c>
      <c r="H75" s="50">
        <f>U12/P$64</f>
        <v>0.06510604058</v>
      </c>
      <c r="I75" s="41"/>
      <c r="J75" s="51">
        <f>U12/B$95</f>
        <v>0.06468770767</v>
      </c>
      <c r="K75" s="52">
        <f t="shared" si="154"/>
        <v>0.000799065001</v>
      </c>
      <c r="L75" s="2">
        <v>0.9</v>
      </c>
      <c r="N75" s="35">
        <f t="shared" si="155"/>
        <v>179.3502</v>
      </c>
    </row>
    <row r="76" ht="15.75" customHeight="1">
      <c r="A76" s="48" t="s">
        <v>32</v>
      </c>
      <c r="B76" s="49">
        <f>SUM(N15:N19)</f>
        <v>516</v>
      </c>
      <c r="C76" s="50">
        <f t="shared" ref="C76:D76" si="157">K17</f>
        <v>0.01215780099</v>
      </c>
      <c r="D76" s="50">
        <f t="shared" si="157"/>
        <v>0.004420739667</v>
      </c>
      <c r="E76" s="50">
        <f t="shared" si="152"/>
        <v>0.007737061323</v>
      </c>
      <c r="F76" s="50">
        <f>L76/E15</f>
        <v>0.02259887006</v>
      </c>
      <c r="G76" s="50">
        <f t="shared" si="153"/>
        <v>0.03033593138</v>
      </c>
      <c r="H76" s="50">
        <f>U17/P$64</f>
        <v>0.05289889059</v>
      </c>
      <c r="I76" s="41"/>
      <c r="J76" s="51">
        <f>U17/B$95</f>
        <v>0.0525589936</v>
      </c>
      <c r="K76" s="52">
        <f t="shared" si="154"/>
        <v>0.001195455155</v>
      </c>
      <c r="L76" s="2">
        <v>0.52</v>
      </c>
      <c r="N76" s="35">
        <f t="shared" si="155"/>
        <v>268.32</v>
      </c>
    </row>
    <row r="77" ht="15.75" customHeight="1">
      <c r="A77" s="48" t="s">
        <v>33</v>
      </c>
      <c r="B77" s="49">
        <f>SUM(N25:N27)</f>
        <v>120</v>
      </c>
      <c r="C77" s="50">
        <f t="shared" ref="C77:D77" si="158">K22</f>
        <v>7.248330494</v>
      </c>
      <c r="D77" s="50">
        <f t="shared" si="158"/>
        <v>2.231226764</v>
      </c>
      <c r="E77" s="50">
        <f t="shared" si="152"/>
        <v>5.01710373</v>
      </c>
      <c r="F77" s="50">
        <v>0.0</v>
      </c>
      <c r="G77" s="50">
        <f t="shared" si="153"/>
        <v>5.01710373</v>
      </c>
      <c r="H77" s="50">
        <f>U22/P$64</f>
        <v>0.05976206493</v>
      </c>
      <c r="I77" s="53">
        <f>H77+H78</f>
        <v>0.1189199866</v>
      </c>
      <c r="J77" s="51">
        <f>U22/B$95</f>
        <v>0.05937806924</v>
      </c>
      <c r="K77" s="52">
        <f t="shared" si="154"/>
        <v>0</v>
      </c>
    </row>
    <row r="78" ht="15.75" customHeight="1">
      <c r="A78" s="48" t="s">
        <v>34</v>
      </c>
      <c r="B78" s="49">
        <f>SUM(N25:N27)</f>
        <v>120</v>
      </c>
      <c r="C78" s="50">
        <f t="shared" ref="C78:D78" si="159">K26</f>
        <v>7.117923254</v>
      </c>
      <c r="D78" s="50">
        <f t="shared" si="159"/>
        <v>2.231103455</v>
      </c>
      <c r="E78" s="50">
        <f t="shared" si="152"/>
        <v>4.886819799</v>
      </c>
      <c r="F78" s="50">
        <v>0.0</v>
      </c>
      <c r="G78" s="50">
        <f t="shared" si="153"/>
        <v>4.886819799</v>
      </c>
      <c r="H78" s="50">
        <f>U26/P$64</f>
        <v>0.05915792167</v>
      </c>
      <c r="J78" s="51">
        <f>U26/B$95</f>
        <v>0.05877780785</v>
      </c>
      <c r="K78" s="52">
        <f t="shared" si="154"/>
        <v>0</v>
      </c>
    </row>
    <row r="79" ht="15.75" customHeight="1">
      <c r="A79" s="54" t="s">
        <v>35</v>
      </c>
      <c r="B79" s="49">
        <f>sum(N29)</f>
        <v>137</v>
      </c>
      <c r="C79" s="50">
        <f t="shared" ref="C79:D79" si="160">K29</f>
        <v>0.0306031746</v>
      </c>
      <c r="D79" s="50">
        <f t="shared" si="160"/>
        <v>0.07748569006</v>
      </c>
      <c r="E79" s="50">
        <f t="shared" si="152"/>
        <v>-0.04688251545</v>
      </c>
      <c r="F79" s="50">
        <f>L79/E29</f>
        <v>0.02612124199</v>
      </c>
      <c r="G79" s="50">
        <f t="shared" si="153"/>
        <v>-0.02076127346</v>
      </c>
      <c r="H79" s="50">
        <f>U29/P$64</f>
        <v>0.04953849966</v>
      </c>
      <c r="I79" s="41"/>
      <c r="J79" s="51">
        <f>U29/B$95</f>
        <v>0.04922019455</v>
      </c>
      <c r="K79" s="52">
        <f t="shared" si="154"/>
        <v>0.001294007137</v>
      </c>
      <c r="L79" s="2">
        <v>2.12</v>
      </c>
      <c r="N79" s="35">
        <f t="shared" ref="N79:N80" si="162">L79*B79</f>
        <v>290.44</v>
      </c>
    </row>
    <row r="80" ht="20.25" customHeight="1">
      <c r="A80" s="48" t="s">
        <v>36</v>
      </c>
      <c r="B80" s="49">
        <v>71.0</v>
      </c>
      <c r="C80" s="50">
        <f t="shared" ref="C80:D80" si="161">K31</f>
        <v>-0.2349206349</v>
      </c>
      <c r="D80" s="50">
        <f t="shared" si="161"/>
        <v>-0.09042101025</v>
      </c>
      <c r="E80" s="50">
        <f t="shared" si="152"/>
        <v>-0.1444996247</v>
      </c>
      <c r="F80" s="50">
        <f>L80/E31</f>
        <v>0.01272475795</v>
      </c>
      <c r="G80" s="50">
        <f t="shared" si="153"/>
        <v>-0.1317748667</v>
      </c>
      <c r="H80" s="50">
        <f>U31/P$64</f>
        <v>0.04574112959</v>
      </c>
      <c r="I80" s="41"/>
      <c r="J80" s="51">
        <f>U31/B$95</f>
        <v>0.04544722414</v>
      </c>
      <c r="K80" s="52">
        <f t="shared" si="154"/>
        <v>0.0005820448025</v>
      </c>
      <c r="L80" s="2">
        <v>1.84</v>
      </c>
      <c r="N80" s="35">
        <f t="shared" si="162"/>
        <v>130.64</v>
      </c>
    </row>
    <row r="81" ht="15.75" customHeight="1">
      <c r="A81" s="54" t="s">
        <v>37</v>
      </c>
      <c r="B81" s="49">
        <f>sum(N33:N35)</f>
        <v>211</v>
      </c>
      <c r="C81" s="50">
        <f>I33</f>
        <v>-0.09462365591</v>
      </c>
      <c r="D81" s="50">
        <f>H33</f>
        <v>-0.02494004796</v>
      </c>
      <c r="E81" s="50">
        <f t="shared" si="152"/>
        <v>-0.06968360795</v>
      </c>
      <c r="F81" s="50">
        <f>L81/E33</f>
        <v>0</v>
      </c>
      <c r="G81" s="50">
        <f t="shared" si="153"/>
        <v>-0.06968360795</v>
      </c>
      <c r="H81" s="50">
        <f>U33/P$64</f>
        <v>0.05145032793</v>
      </c>
      <c r="I81" s="41"/>
      <c r="J81" s="51">
        <f>U33/B$95</f>
        <v>0.05111973855</v>
      </c>
      <c r="K81" s="52">
        <f t="shared" si="154"/>
        <v>0</v>
      </c>
    </row>
    <row r="82" ht="15.75" customHeight="1">
      <c r="A82" s="48" t="s">
        <v>38</v>
      </c>
      <c r="B82" s="49">
        <f>SUM(N37:N40)</f>
        <v>127</v>
      </c>
      <c r="C82" s="50">
        <f t="shared" ref="C82:D82" si="163">K39</f>
        <v>0.7199443272</v>
      </c>
      <c r="D82" s="50">
        <f t="shared" si="163"/>
        <v>0.2883535075</v>
      </c>
      <c r="E82" s="50">
        <f t="shared" si="152"/>
        <v>0.4315908197</v>
      </c>
      <c r="F82" s="50">
        <v>0.0</v>
      </c>
      <c r="G82" s="50">
        <f t="shared" si="153"/>
        <v>0.4315908197</v>
      </c>
      <c r="H82" s="50">
        <f>U39/P$64</f>
        <v>0.08533242832</v>
      </c>
      <c r="I82" s="41"/>
      <c r="J82" s="51">
        <f>U39/B$95</f>
        <v>0.0847841326</v>
      </c>
      <c r="K82" s="52">
        <f t="shared" si="154"/>
        <v>0</v>
      </c>
    </row>
    <row r="83" ht="15.75" customHeight="1">
      <c r="A83" s="48" t="s">
        <v>39</v>
      </c>
      <c r="B83" s="49">
        <f>SUM(N42:N43)</f>
        <v>108</v>
      </c>
      <c r="C83" s="50">
        <f t="shared" ref="C83:D83" si="164">K42</f>
        <v>-0.2493887734</v>
      </c>
      <c r="D83" s="50">
        <f t="shared" si="164"/>
        <v>-0.0598754482</v>
      </c>
      <c r="E83" s="50">
        <f t="shared" si="152"/>
        <v>-0.1895133252</v>
      </c>
      <c r="F83" s="50">
        <f>L83/E42</f>
        <v>0.008774553794</v>
      </c>
      <c r="G83" s="50">
        <f t="shared" si="153"/>
        <v>-0.1807387714</v>
      </c>
      <c r="H83" s="50">
        <f>U42/P$64</f>
        <v>0.04825714567</v>
      </c>
      <c r="I83" s="41"/>
      <c r="J83" s="51">
        <f>U42/B$95</f>
        <v>0.04794707379</v>
      </c>
      <c r="K83" s="52">
        <f t="shared" si="154"/>
        <v>0.0004234349206</v>
      </c>
      <c r="L83" s="2">
        <v>0.88</v>
      </c>
      <c r="N83" s="35">
        <f>L83*B83</f>
        <v>95.04</v>
      </c>
    </row>
    <row r="84" ht="15.75" customHeight="1">
      <c r="A84" s="48" t="s">
        <v>40</v>
      </c>
      <c r="B84" s="49">
        <f>SUM(N45:N47)</f>
        <v>106</v>
      </c>
      <c r="C84" s="50">
        <f t="shared" ref="C84:D84" si="165">K46</f>
        <v>0.06252440072</v>
      </c>
      <c r="D84" s="50">
        <f t="shared" si="165"/>
        <v>-0.1104580458</v>
      </c>
      <c r="E84" s="50">
        <f t="shared" si="152"/>
        <v>0.1729824465</v>
      </c>
      <c r="F84" s="50">
        <v>0.0</v>
      </c>
      <c r="G84" s="50">
        <f t="shared" si="153"/>
        <v>0.1729824465</v>
      </c>
      <c r="H84" s="55">
        <f>U46/P$64</f>
        <v>0.04365148895</v>
      </c>
      <c r="I84" s="41"/>
      <c r="J84" s="51">
        <f>U46/B$95</f>
        <v>0.04337101029</v>
      </c>
      <c r="K84" s="52">
        <f t="shared" si="154"/>
        <v>0</v>
      </c>
    </row>
    <row r="85" ht="20.25" customHeight="1">
      <c r="A85" s="54" t="s">
        <v>41</v>
      </c>
      <c r="B85" s="49">
        <f>N49</f>
        <v>53</v>
      </c>
      <c r="C85" s="50">
        <f t="shared" ref="C85:D85" si="166">K49</f>
        <v>-0.06102512563</v>
      </c>
      <c r="D85" s="50">
        <f t="shared" si="166"/>
        <v>-0.04607732733</v>
      </c>
      <c r="E85" s="50">
        <f t="shared" si="152"/>
        <v>-0.0149477983</v>
      </c>
      <c r="F85" s="50">
        <f>L85/E49</f>
        <v>0</v>
      </c>
      <c r="G85" s="50">
        <f t="shared" si="153"/>
        <v>-0.0149477983</v>
      </c>
      <c r="H85" s="50">
        <f>U49/P$64</f>
        <v>0.05515351224</v>
      </c>
      <c r="I85" s="41"/>
      <c r="J85" s="51">
        <f>U49/B$95</f>
        <v>0.05479912839</v>
      </c>
      <c r="K85" s="52">
        <f t="shared" si="154"/>
        <v>0</v>
      </c>
    </row>
    <row r="86" ht="15.75" customHeight="1">
      <c r="A86" s="48" t="s">
        <v>42</v>
      </c>
      <c r="B86" s="49">
        <f>sum(N51:N53)</f>
        <v>174</v>
      </c>
      <c r="C86" s="50">
        <f t="shared" ref="C86:D86" si="167">K51</f>
        <v>-0.04545005089</v>
      </c>
      <c r="D86" s="50">
        <f t="shared" si="167"/>
        <v>-0.06222215878</v>
      </c>
      <c r="E86" s="50">
        <f t="shared" si="152"/>
        <v>0.01677210789</v>
      </c>
      <c r="F86" s="50">
        <f>L86/E46</f>
        <v>0.008655198529</v>
      </c>
      <c r="G86" s="50">
        <f t="shared" si="153"/>
        <v>0.02542730642</v>
      </c>
      <c r="H86" s="55">
        <f>U51/P$64</f>
        <v>0.04387015673</v>
      </c>
      <c r="I86" s="41"/>
      <c r="J86" s="51">
        <f>U51/B$95</f>
        <v>0.04358827304</v>
      </c>
      <c r="K86" s="52">
        <f t="shared" si="154"/>
        <v>0.0003797049159</v>
      </c>
      <c r="L86" s="2">
        <v>0.8</v>
      </c>
      <c r="N86" s="35">
        <f t="shared" ref="N86:N88" si="169">L86*B86</f>
        <v>139.2</v>
      </c>
    </row>
    <row r="87" ht="15.75" customHeight="1">
      <c r="A87" s="48" t="s">
        <v>43</v>
      </c>
      <c r="B87" s="49">
        <f>SUM(N55:N56)</f>
        <v>97</v>
      </c>
      <c r="C87" s="50">
        <f t="shared" ref="C87:D87" si="168">K56</f>
        <v>2.763927443</v>
      </c>
      <c r="D87" s="50">
        <f t="shared" si="168"/>
        <v>0.6805414605</v>
      </c>
      <c r="E87" s="50">
        <f t="shared" si="152"/>
        <v>2.083385982</v>
      </c>
      <c r="F87" s="50">
        <f>L87/E55</f>
        <v>0.01831574756</v>
      </c>
      <c r="G87" s="50">
        <f t="shared" si="153"/>
        <v>2.10170173</v>
      </c>
      <c r="H87" s="50">
        <f>U56/P$64</f>
        <v>0.08683106894</v>
      </c>
      <c r="I87" s="41"/>
      <c r="J87" s="51">
        <f>U56/B$95</f>
        <v>0.08627314384</v>
      </c>
      <c r="K87" s="52">
        <f t="shared" si="154"/>
        <v>0.001590375939</v>
      </c>
      <c r="L87" s="2">
        <v>3.68</v>
      </c>
      <c r="N87" s="35">
        <f t="shared" si="169"/>
        <v>356.96</v>
      </c>
    </row>
    <row r="88" ht="15.75" customHeight="1">
      <c r="A88" s="48" t="s">
        <v>44</v>
      </c>
      <c r="B88" s="49">
        <f>SUM(N58:N59)</f>
        <v>60</v>
      </c>
      <c r="C88" s="50">
        <f t="shared" ref="C88:D88" si="170">K59</f>
        <v>9.479724899</v>
      </c>
      <c r="D88" s="50">
        <f t="shared" si="170"/>
        <v>2.137705454</v>
      </c>
      <c r="E88" s="50">
        <f t="shared" si="152"/>
        <v>7.342019444</v>
      </c>
      <c r="F88" s="50">
        <f t="shared" ref="F88:F89" si="172">L88/E58</f>
        <v>0.00730994152</v>
      </c>
      <c r="G88" s="50">
        <f t="shared" si="153"/>
        <v>7.349329386</v>
      </c>
      <c r="H88" s="50">
        <f>U59/P$64</f>
        <v>0.05485406926</v>
      </c>
      <c r="I88" s="41"/>
      <c r="J88" s="51">
        <f>U59/B$95</f>
        <v>0.05450160945</v>
      </c>
      <c r="K88" s="52">
        <f t="shared" si="154"/>
        <v>0.0004009800384</v>
      </c>
      <c r="L88" s="2">
        <v>1.5</v>
      </c>
      <c r="N88" s="35">
        <f t="shared" si="169"/>
        <v>90</v>
      </c>
    </row>
    <row r="89" ht="15.75" customHeight="1">
      <c r="A89" s="54" t="s">
        <v>45</v>
      </c>
      <c r="B89" s="49">
        <f>SUM(N61:N62)</f>
        <v>275</v>
      </c>
      <c r="C89" s="50">
        <f t="shared" ref="C89:D89" si="171">K61</f>
        <v>-0.1449901044</v>
      </c>
      <c r="D89" s="50">
        <f t="shared" si="171"/>
        <v>0.038393564</v>
      </c>
      <c r="E89" s="50">
        <f t="shared" si="152"/>
        <v>-0.1833836684</v>
      </c>
      <c r="F89" s="50">
        <f t="shared" si="172"/>
        <v>0</v>
      </c>
      <c r="G89" s="50">
        <f t="shared" si="153"/>
        <v>-0.1833836684</v>
      </c>
      <c r="H89" s="50">
        <f>U61/P$64</f>
        <v>0.04733012437</v>
      </c>
      <c r="I89" s="41"/>
      <c r="J89" s="51">
        <f>U61/B$95</f>
        <v>0.04702600898</v>
      </c>
      <c r="K89" s="52">
        <f t="shared" si="154"/>
        <v>0</v>
      </c>
      <c r="L89" s="2"/>
    </row>
    <row r="90" ht="33.0" customHeight="1">
      <c r="A90" s="48"/>
      <c r="B90" s="56"/>
      <c r="C90" s="50"/>
      <c r="D90" s="50"/>
      <c r="E90" s="50"/>
      <c r="F90" s="50"/>
      <c r="G90" s="36"/>
      <c r="H90" s="36"/>
      <c r="I90" s="41"/>
      <c r="N90" s="35">
        <f>sum(N73:N89)</f>
        <v>1935.9502</v>
      </c>
    </row>
    <row r="91" ht="15.75" customHeight="1">
      <c r="A91" s="48" t="s">
        <v>55</v>
      </c>
      <c r="B91" s="36"/>
      <c r="C91" s="50">
        <f t="shared" ref="C91:D91" si="173">K64</f>
        <v>0.4118542297</v>
      </c>
      <c r="D91" s="50">
        <f t="shared" si="173"/>
        <v>0.1196602943</v>
      </c>
      <c r="E91" s="50">
        <f>C91-D91</f>
        <v>0.2921939354</v>
      </c>
      <c r="F91" s="50">
        <f>SUM(K73:K89)</f>
        <v>0.008384826741</v>
      </c>
      <c r="G91" s="50">
        <f>E91+F91</f>
        <v>0.3005787622</v>
      </c>
      <c r="H91" s="50">
        <f>SUM(H73:H89)</f>
        <v>1</v>
      </c>
      <c r="I91" s="41"/>
    </row>
    <row r="92" ht="15.75" customHeight="1">
      <c r="A92" s="57"/>
      <c r="B92" s="58"/>
      <c r="C92" s="50"/>
      <c r="D92" s="50"/>
      <c r="E92" s="41"/>
      <c r="F92" s="41"/>
      <c r="G92" s="41"/>
      <c r="H92" s="41"/>
      <c r="I92" s="41"/>
    </row>
    <row r="93" ht="15.75" customHeight="1">
      <c r="A93" s="57" t="s">
        <v>56</v>
      </c>
      <c r="B93" s="58">
        <f>U64</f>
        <v>224450.0757</v>
      </c>
      <c r="C93" s="50"/>
      <c r="D93" s="50"/>
      <c r="E93" s="41"/>
      <c r="F93" s="41"/>
      <c r="G93" s="41"/>
      <c r="H93" s="59">
        <f>B93/B95</f>
        <v>0.9935745914</v>
      </c>
      <c r="I93" s="41"/>
      <c r="J93" s="60">
        <f>sum(J73:J89)</f>
        <v>0.9935745914</v>
      </c>
    </row>
    <row r="94" ht="15.75" customHeight="1">
      <c r="A94" s="57" t="s">
        <v>57</v>
      </c>
      <c r="B94" s="61">
        <v>1451.51</v>
      </c>
      <c r="C94" s="50"/>
      <c r="D94" s="50"/>
      <c r="E94" s="41"/>
      <c r="F94" s="41"/>
      <c r="G94" s="41"/>
      <c r="H94" s="59">
        <f>B94/B95</f>
        <v>0.006425408636</v>
      </c>
      <c r="I94" s="41"/>
      <c r="J94" s="60">
        <f>B94/B$95</f>
        <v>0.006425408636</v>
      </c>
    </row>
    <row r="95" ht="15.75" customHeight="1">
      <c r="A95" s="57" t="s">
        <v>58</v>
      </c>
      <c r="B95" s="58">
        <f>SUM(B93:B94)</f>
        <v>225901.5857</v>
      </c>
      <c r="C95" s="50"/>
      <c r="D95" s="50"/>
      <c r="E95" s="41"/>
      <c r="F95" s="41"/>
      <c r="G95" s="41"/>
      <c r="H95" s="59">
        <f>H93+H94</f>
        <v>1</v>
      </c>
      <c r="I95" s="41"/>
      <c r="J95" s="62">
        <f>sum(J73:J89,H94)</f>
        <v>1</v>
      </c>
    </row>
    <row r="96" ht="15.75" customHeight="1">
      <c r="A96" s="3"/>
      <c r="B96" s="63"/>
      <c r="C96" s="21"/>
      <c r="D96" s="21"/>
    </row>
    <row r="97" ht="15.75" customHeight="1">
      <c r="A97" s="3"/>
      <c r="F97" s="64" t="s">
        <v>59</v>
      </c>
    </row>
    <row r="98" ht="15.75" customHeight="1">
      <c r="B98" s="63"/>
      <c r="C98" s="21"/>
      <c r="D98" s="21"/>
    </row>
    <row r="99" ht="15.75" customHeight="1">
      <c r="B99" s="63"/>
      <c r="C99" s="21"/>
      <c r="D99" s="21"/>
    </row>
    <row r="100" ht="15.75" customHeight="1">
      <c r="B100" s="63"/>
      <c r="C100" s="21"/>
      <c r="D100" s="21"/>
    </row>
    <row r="101" ht="15.75" customHeight="1">
      <c r="B101" s="63"/>
      <c r="C101" s="21"/>
      <c r="D101" s="21"/>
    </row>
    <row r="102" ht="15.75" customHeight="1">
      <c r="B102" s="63"/>
      <c r="C102" s="21"/>
      <c r="D102" s="21"/>
    </row>
    <row r="103" ht="15.75" customHeight="1">
      <c r="B103" s="63"/>
      <c r="C103" s="21"/>
      <c r="D103" s="21"/>
    </row>
    <row r="104" ht="15.75" customHeight="1">
      <c r="B104" s="63"/>
      <c r="C104" s="21"/>
      <c r="D104" s="21"/>
    </row>
    <row r="105" ht="15.75" customHeight="1">
      <c r="B105" s="63"/>
      <c r="C105" s="21"/>
      <c r="D105" s="21"/>
    </row>
    <row r="106" ht="15.75" customHeight="1">
      <c r="B106" s="63"/>
      <c r="C106" s="21"/>
      <c r="D106" s="21"/>
    </row>
    <row r="107" ht="15.75" customHeight="1">
      <c r="B107" s="63"/>
      <c r="C107" s="21"/>
      <c r="D107" s="21"/>
    </row>
    <row r="108" ht="15.75" customHeight="1">
      <c r="B108" s="63"/>
      <c r="C108" s="21"/>
      <c r="D108" s="21"/>
    </row>
    <row r="109" ht="15.75" customHeight="1">
      <c r="B109" s="63"/>
      <c r="C109" s="21"/>
      <c r="D109" s="21"/>
    </row>
    <row r="110" ht="15.75" customHeight="1">
      <c r="B110" s="63"/>
      <c r="C110" s="21"/>
      <c r="D110" s="21"/>
    </row>
    <row r="111" ht="15.75" customHeight="1">
      <c r="B111" s="63"/>
      <c r="C111" s="21"/>
      <c r="D111" s="21"/>
    </row>
    <row r="112" ht="15.75" customHeight="1">
      <c r="B112" s="63"/>
      <c r="C112" s="21"/>
      <c r="D112" s="21"/>
    </row>
    <row r="113" ht="15.75" customHeight="1">
      <c r="B113" s="63"/>
      <c r="C113" s="21"/>
      <c r="D113" s="21"/>
    </row>
    <row r="114" ht="15.75" customHeight="1">
      <c r="B114" s="63"/>
      <c r="C114" s="21"/>
      <c r="D114" s="21"/>
    </row>
    <row r="115" ht="15.75" customHeight="1">
      <c r="B115" s="63"/>
      <c r="C115" s="21"/>
      <c r="D115" s="21"/>
    </row>
    <row r="116" ht="15.75" customHeight="1">
      <c r="B116" s="63"/>
      <c r="C116" s="21"/>
      <c r="D116" s="21"/>
    </row>
    <row r="117" ht="15.75" customHeight="1"/>
    <row r="118" ht="15.75" customHeight="1">
      <c r="B118" s="63"/>
      <c r="C118" s="21"/>
      <c r="D118" s="21"/>
    </row>
    <row r="119" ht="15.75" customHeight="1">
      <c r="B119" s="63"/>
      <c r="C119" s="21"/>
      <c r="D119" s="21"/>
    </row>
    <row r="120" ht="15.75" customHeight="1">
      <c r="B120" s="63"/>
      <c r="C120" s="21"/>
      <c r="D120" s="21"/>
    </row>
    <row r="121" ht="15.75" customHeight="1">
      <c r="B121" s="63"/>
      <c r="C121" s="21"/>
      <c r="D121" s="21"/>
    </row>
    <row r="122" ht="15.75" customHeight="1">
      <c r="B122" s="63"/>
      <c r="C122" s="21"/>
      <c r="D122" s="21"/>
    </row>
    <row r="123" ht="15.75" customHeight="1">
      <c r="B123" s="63"/>
      <c r="C123" s="21"/>
      <c r="D123" s="21"/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">
    <mergeCell ref="F3:I3"/>
    <mergeCell ref="I77:I78"/>
  </mergeCells>
  <conditionalFormatting sqref="J55:J56">
    <cfRule type="expression" dxfId="0" priority="1">
      <formula>J55&lt;0</formula>
    </cfRule>
  </conditionalFormatting>
  <conditionalFormatting sqref="J6">
    <cfRule type="expression" dxfId="0" priority="2">
      <formula>J6&lt;0</formula>
    </cfRule>
  </conditionalFormatting>
  <conditionalFormatting sqref="J15">
    <cfRule type="expression" dxfId="0" priority="3">
      <formula>J15&lt;0</formula>
    </cfRule>
  </conditionalFormatting>
  <conditionalFormatting sqref="J5:R5 J16:J19">
    <cfRule type="expression" dxfId="0" priority="4">
      <formula>J5&lt;0</formula>
    </cfRule>
  </conditionalFormatting>
  <conditionalFormatting sqref="K6">
    <cfRule type="expression" dxfId="0" priority="5">
      <formula>K6&lt;0</formula>
    </cfRule>
  </conditionalFormatting>
  <conditionalFormatting sqref="K22">
    <cfRule type="expression" dxfId="0" priority="6">
      <formula>K22&lt;0</formula>
    </cfRule>
  </conditionalFormatting>
  <conditionalFormatting sqref="K16 K18:K19">
    <cfRule type="expression" dxfId="0" priority="7">
      <formula>K16&lt;0</formula>
    </cfRule>
  </conditionalFormatting>
  <conditionalFormatting sqref="K15">
    <cfRule type="expression" dxfId="0" priority="8">
      <formula>K15&lt;0</formula>
    </cfRule>
  </conditionalFormatting>
  <conditionalFormatting sqref="K17">
    <cfRule type="expression" dxfId="0" priority="9">
      <formula>K17&lt;0</formula>
    </cfRule>
  </conditionalFormatting>
  <conditionalFormatting sqref="K21 K23">
    <cfRule type="expression" dxfId="0" priority="10">
      <formula>K21&lt;0</formula>
    </cfRule>
  </conditionalFormatting>
  <conditionalFormatting sqref="K55">
    <cfRule type="expression" dxfId="0" priority="11">
      <formula>K55&lt;0</formula>
    </cfRule>
  </conditionalFormatting>
  <conditionalFormatting sqref="K56">
    <cfRule type="expression" dxfId="0" priority="12">
      <formula>K56&lt;0</formula>
    </cfRule>
  </conditionalFormatting>
  <conditionalFormatting sqref="A71:D72">
    <cfRule type="expression" dxfId="0" priority="13">
      <formula>A71&lt;0</formula>
    </cfRule>
  </conditionalFormatting>
  <conditionalFormatting sqref="K25 K27">
    <cfRule type="expression" dxfId="0" priority="14">
      <formula>K25&lt;0</formula>
    </cfRule>
  </conditionalFormatting>
  <conditionalFormatting sqref="J25:J27">
    <cfRule type="expression" dxfId="0" priority="15">
      <formula>J25&lt;0</formula>
    </cfRule>
  </conditionalFormatting>
  <conditionalFormatting sqref="K57">
    <cfRule type="expression" dxfId="0" priority="16">
      <formula>K57&lt;0</formula>
    </cfRule>
  </conditionalFormatting>
  <conditionalFormatting sqref="K26">
    <cfRule type="expression" dxfId="0" priority="17">
      <formula>K26&lt;0</formula>
    </cfRule>
  </conditionalFormatting>
  <conditionalFormatting sqref="K11:K12">
    <cfRule type="expression" dxfId="0" priority="18">
      <formula>K11&lt;0</formula>
    </cfRule>
  </conditionalFormatting>
  <conditionalFormatting sqref="K12">
    <cfRule type="expression" dxfId="0" priority="19">
      <formula>K12&lt;0</formula>
    </cfRule>
  </conditionalFormatting>
  <conditionalFormatting sqref="K15:K19">
    <cfRule type="expression" dxfId="0" priority="20">
      <formula>K15&lt;0</formula>
    </cfRule>
  </conditionalFormatting>
  <conditionalFormatting sqref="J15:J19">
    <cfRule type="expression" dxfId="0" priority="21">
      <formula>J15&lt;0</formula>
    </cfRule>
  </conditionalFormatting>
  <conditionalFormatting sqref="K39">
    <cfRule type="expression" dxfId="0" priority="22">
      <formula>K39&lt;0</formula>
    </cfRule>
  </conditionalFormatting>
  <conditionalFormatting sqref="J37">
    <cfRule type="expression" dxfId="0" priority="23">
      <formula>J37&lt;0</formula>
    </cfRule>
  </conditionalFormatting>
  <conditionalFormatting sqref="J38:J41 J44">
    <cfRule type="expression" dxfId="0" priority="24">
      <formula>J38&lt;0</formula>
    </cfRule>
  </conditionalFormatting>
  <conditionalFormatting sqref="J48:R48">
    <cfRule type="expression" dxfId="0" priority="25">
      <formula>J48&lt;0</formula>
    </cfRule>
  </conditionalFormatting>
  <conditionalFormatting sqref="K38 K40:K41 K44:K45">
    <cfRule type="expression" dxfId="0" priority="26">
      <formula>K38&lt;0</formula>
    </cfRule>
  </conditionalFormatting>
  <conditionalFormatting sqref="K37">
    <cfRule type="expression" dxfId="0" priority="27">
      <formula>K37&lt;0</formula>
    </cfRule>
  </conditionalFormatting>
  <conditionalFormatting sqref="C73:E91 G73:G89">
    <cfRule type="expression" dxfId="0" priority="28">
      <formula>C73&lt;0</formula>
    </cfRule>
  </conditionalFormatting>
  <conditionalFormatting sqref="K59">
    <cfRule type="expression" dxfId="0" priority="29">
      <formula>K59&lt;0</formula>
    </cfRule>
  </conditionalFormatting>
  <conditionalFormatting sqref="J58:J59">
    <cfRule type="expression" dxfId="0" priority="30">
      <formula>J58&lt;0</formula>
    </cfRule>
  </conditionalFormatting>
  <conditionalFormatting sqref="K58">
    <cfRule type="expression" dxfId="0" priority="31">
      <formula>K58&lt;0</formula>
    </cfRule>
  </conditionalFormatting>
  <conditionalFormatting sqref="J8:J9">
    <cfRule type="expression" dxfId="0" priority="32">
      <formula>J8&lt;0</formula>
    </cfRule>
  </conditionalFormatting>
  <conditionalFormatting sqref="K8">
    <cfRule type="expression" dxfId="0" priority="33">
      <formula>K8&lt;0</formula>
    </cfRule>
  </conditionalFormatting>
  <conditionalFormatting sqref="K9">
    <cfRule type="expression" dxfId="0" priority="34">
      <formula>K9&lt;0</formula>
    </cfRule>
  </conditionalFormatting>
  <conditionalFormatting sqref="C73:C89">
    <cfRule type="expression" dxfId="0" priority="35">
      <formula>$C$73&lt;0</formula>
    </cfRule>
  </conditionalFormatting>
  <conditionalFormatting sqref="K6:L64 F13:J13 F29:J29 F31:J31 F33:J35 F42:I47 F49:I53 J49 F61:I62">
    <cfRule type="expression" dxfId="0" priority="36">
      <formula>K6&lt;0</formula>
    </cfRule>
  </conditionalFormatting>
  <conditionalFormatting sqref="K29 K31 K33:K35 K49">
    <cfRule type="expression" dxfId="0" priority="37">
      <formula>K29&lt;0</formula>
    </cfRule>
  </conditionalFormatting>
  <conditionalFormatting sqref="J42:J43 J61:J62">
    <cfRule type="expression" dxfId="0" priority="38">
      <formula>J42&lt;0</formula>
    </cfRule>
  </conditionalFormatting>
  <conditionalFormatting sqref="K42:K43 K61:K62">
    <cfRule type="expression" dxfId="0" priority="39">
      <formula>K42&lt;0</formula>
    </cfRule>
  </conditionalFormatting>
  <conditionalFormatting sqref="J46:J47">
    <cfRule type="expression" dxfId="0" priority="40">
      <formula>J46&lt;0</formula>
    </cfRule>
  </conditionalFormatting>
  <conditionalFormatting sqref="K46:K47">
    <cfRule type="expression" dxfId="0" priority="41">
      <formula>K46&lt;0</formula>
    </cfRule>
  </conditionalFormatting>
  <conditionalFormatting sqref="J45">
    <cfRule type="expression" dxfId="0" priority="42">
      <formula>J45&lt;0</formula>
    </cfRule>
  </conditionalFormatting>
  <conditionalFormatting sqref="E91">
    <cfRule type="expression" dxfId="0" priority="43">
      <formula>E91&lt;0</formula>
    </cfRule>
  </conditionalFormatting>
  <conditionalFormatting sqref="G91">
    <cfRule type="expression" dxfId="0" priority="44">
      <formula>G91&lt;0</formula>
    </cfRule>
  </conditionalFormatting>
  <conditionalFormatting sqref="B91:B93">
    <cfRule type="cellIs" dxfId="1" priority="45" operator="lessThan">
      <formula>0</formula>
    </cfRule>
  </conditionalFormatting>
  <conditionalFormatting sqref="T64:W64">
    <cfRule type="cellIs" dxfId="2" priority="46" operator="equal">
      <formula>$O$64</formula>
    </cfRule>
  </conditionalFormatting>
  <conditionalFormatting sqref="U64">
    <cfRule type="cellIs" dxfId="2" priority="47" operator="equal">
      <formula>$P$64</formula>
    </cfRule>
  </conditionalFormatting>
  <conditionalFormatting sqref="V64">
    <cfRule type="cellIs" dxfId="2" priority="48" operator="equal">
      <formula>$Q$64</formula>
    </cfRule>
  </conditionalFormatting>
  <conditionalFormatting sqref="W64">
    <cfRule type="cellIs" dxfId="2" priority="49" operator="equal">
      <formula>$R$64</formula>
    </cfRule>
  </conditionalFormatting>
  <conditionalFormatting sqref="B93:B95">
    <cfRule type="cellIs" dxfId="1" priority="50" operator="lessThan">
      <formula>0</formula>
    </cfRule>
  </conditionalFormatting>
  <conditionalFormatting sqref="J49:J53">
    <cfRule type="expression" dxfId="0" priority="51">
      <formula>J49&lt;0</formula>
    </cfRule>
  </conditionalFormatting>
  <conditionalFormatting sqref="K49:K53">
    <cfRule type="expression" dxfId="0" priority="52">
      <formula>K49&lt;0</formula>
    </cfRule>
  </conditionalFormatting>
  <conditionalFormatting sqref="H84">
    <cfRule type="notContainsBlanks" dxfId="3" priority="53">
      <formula>LEN(TRIM(H84))&gt;0</formula>
    </cfRule>
  </conditionalFormatting>
  <conditionalFormatting sqref="H85:H86">
    <cfRule type="notContainsBlanks" dxfId="3" priority="54">
      <formula>LEN(TRIM(H85))&gt;0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65" t="s">
        <v>60</v>
      </c>
      <c r="B1" s="65" t="s">
        <v>61</v>
      </c>
      <c r="C1" s="65" t="s">
        <v>62</v>
      </c>
      <c r="D1" s="65" t="s">
        <v>63</v>
      </c>
      <c r="E1" s="65" t="s">
        <v>64</v>
      </c>
      <c r="F1" s="65" t="s">
        <v>65</v>
      </c>
      <c r="G1" s="65" t="s">
        <v>61</v>
      </c>
      <c r="H1" s="65" t="s">
        <v>66</v>
      </c>
      <c r="I1" s="65" t="s">
        <v>63</v>
      </c>
      <c r="J1" s="65" t="s">
        <v>64</v>
      </c>
      <c r="K1" s="65" t="s">
        <v>67</v>
      </c>
      <c r="L1" s="65" t="s">
        <v>61</v>
      </c>
      <c r="M1" s="65" t="s">
        <v>66</v>
      </c>
      <c r="N1" s="65" t="s">
        <v>63</v>
      </c>
      <c r="O1" s="2" t="s">
        <v>68</v>
      </c>
      <c r="P1" s="65" t="s">
        <v>64</v>
      </c>
    </row>
    <row r="2">
      <c r="A2" s="66" t="s">
        <v>69</v>
      </c>
      <c r="B2" s="67" t="str">
        <f t="shared" ref="B2:B3" si="1">#REF!</f>
        <v>#REF!</v>
      </c>
      <c r="C2" s="65">
        <v>228.945</v>
      </c>
      <c r="D2" s="68" t="str">
        <f t="shared" ref="D2:D3" si="2">B2*C2</f>
        <v>#REF!</v>
      </c>
      <c r="E2" s="69" t="str">
        <f t="shared" ref="E2:E3" si="3">D2/D$16</f>
        <v>#REF!</v>
      </c>
      <c r="F2" s="68"/>
      <c r="G2" s="68"/>
      <c r="H2" s="68"/>
      <c r="I2" s="68"/>
      <c r="J2" s="68"/>
      <c r="K2" s="68"/>
      <c r="L2" s="68"/>
      <c r="M2" s="68"/>
      <c r="N2" s="68"/>
      <c r="O2" s="68"/>
    </row>
    <row r="3">
      <c r="A3" s="66" t="s">
        <v>70</v>
      </c>
      <c r="B3" s="65" t="str">
        <f t="shared" si="1"/>
        <v>#REF!</v>
      </c>
      <c r="C3" s="65">
        <v>560.4026</v>
      </c>
      <c r="D3" s="68" t="str">
        <f t="shared" si="2"/>
        <v>#REF!</v>
      </c>
      <c r="E3" s="69" t="str">
        <f t="shared" si="3"/>
        <v>#REF!</v>
      </c>
      <c r="F3" s="68"/>
      <c r="G3" s="68"/>
      <c r="H3" s="68"/>
      <c r="I3" s="68"/>
      <c r="J3" s="68"/>
      <c r="K3" s="68"/>
      <c r="L3" s="68"/>
      <c r="M3" s="68"/>
      <c r="N3" s="68"/>
      <c r="O3" s="68"/>
    </row>
    <row r="4">
      <c r="A4" s="65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>
      <c r="A5" s="68"/>
      <c r="B5" s="68"/>
      <c r="C5" s="68"/>
      <c r="D5" s="68"/>
      <c r="E5" s="68"/>
      <c r="F5" s="65" t="s">
        <v>35</v>
      </c>
      <c r="G5" s="65">
        <v>0.0</v>
      </c>
      <c r="H5" s="68">
        <f>IFERROR(__xludf.DUMMYFUNCTION("GOOGLEFINANCE(F5, ""price"")"),81.16)</f>
        <v>81.16</v>
      </c>
      <c r="I5" s="68">
        <f t="shared" ref="I5:I8" si="4">G5*H5</f>
        <v>0</v>
      </c>
      <c r="J5" s="69" t="str">
        <f t="shared" ref="J5:J8" si="5">I5/$D$16</f>
        <v>#REF!</v>
      </c>
      <c r="K5" s="65" t="s">
        <v>35</v>
      </c>
      <c r="L5" s="65">
        <v>137.0</v>
      </c>
      <c r="M5" s="65">
        <v>78.75</v>
      </c>
      <c r="N5" s="65">
        <f t="shared" ref="N5:N8" si="6">L5*M5</f>
        <v>10788.75</v>
      </c>
      <c r="O5" s="68">
        <f t="shared" ref="O5:O8" si="7">I5+N5</f>
        <v>10788.75</v>
      </c>
      <c r="P5" s="69" t="str">
        <f t="shared" ref="P5:P8" si="8">O5/$D$16</f>
        <v>#REF!</v>
      </c>
    </row>
    <row r="6">
      <c r="A6" s="68"/>
      <c r="B6" s="68"/>
      <c r="C6" s="68"/>
      <c r="D6" s="68"/>
      <c r="E6" s="68"/>
      <c r="F6" s="65" t="s">
        <v>37</v>
      </c>
      <c r="G6" s="65">
        <v>131.0</v>
      </c>
      <c r="H6" s="68">
        <f>IFERROR(__xludf.DUMMYFUNCTION("GOOGLEFINANCE(F6, ""price"")"),54.73)</f>
        <v>54.73</v>
      </c>
      <c r="I6" s="68">
        <f t="shared" si="4"/>
        <v>7169.63</v>
      </c>
      <c r="J6" s="69" t="str">
        <f t="shared" si="5"/>
        <v>#REF!</v>
      </c>
      <c r="K6" s="65" t="s">
        <v>37</v>
      </c>
      <c r="L6" s="65">
        <v>80.0</v>
      </c>
      <c r="M6" s="65">
        <v>54.95</v>
      </c>
      <c r="N6" s="65">
        <f t="shared" si="6"/>
        <v>4396</v>
      </c>
      <c r="O6" s="68">
        <f t="shared" si="7"/>
        <v>11565.63</v>
      </c>
      <c r="P6" s="69" t="str">
        <f t="shared" si="8"/>
        <v>#REF!</v>
      </c>
    </row>
    <row r="7">
      <c r="A7" s="68"/>
      <c r="B7" s="68"/>
      <c r="C7" s="68"/>
      <c r="D7" s="68"/>
      <c r="E7" s="68"/>
      <c r="F7" s="65" t="s">
        <v>39</v>
      </c>
      <c r="G7" s="65">
        <v>76.0</v>
      </c>
      <c r="H7" s="68">
        <f>IFERROR(__xludf.DUMMYFUNCTION("GOOGLEFINANCE(F7, ""price"")"),100.29)</f>
        <v>100.29</v>
      </c>
      <c r="I7" s="68">
        <f t="shared" si="4"/>
        <v>7622.04</v>
      </c>
      <c r="J7" s="69" t="str">
        <f t="shared" si="5"/>
        <v>#REF!</v>
      </c>
      <c r="K7" s="65" t="s">
        <v>39</v>
      </c>
      <c r="L7" s="65">
        <v>32.0</v>
      </c>
      <c r="M7" s="65">
        <v>107.75</v>
      </c>
      <c r="N7" s="65">
        <f t="shared" si="6"/>
        <v>3448</v>
      </c>
      <c r="O7" s="68">
        <f t="shared" si="7"/>
        <v>11070.04</v>
      </c>
      <c r="P7" s="69" t="str">
        <f t="shared" si="8"/>
        <v>#REF!</v>
      </c>
    </row>
    <row r="8">
      <c r="A8" s="68"/>
      <c r="B8" s="68"/>
      <c r="C8" s="68"/>
      <c r="D8" s="68"/>
      <c r="E8" s="68"/>
      <c r="F8" s="65" t="s">
        <v>45</v>
      </c>
      <c r="G8" s="65">
        <v>169.0</v>
      </c>
      <c r="H8" s="68">
        <f>IFERROR(__xludf.DUMMYFUNCTION("GOOGLEFINANCE(F8, ""price"")"),38.63)</f>
        <v>38.63</v>
      </c>
      <c r="I8" s="68">
        <f t="shared" si="4"/>
        <v>6528.47</v>
      </c>
      <c r="J8" s="69" t="str">
        <f t="shared" si="5"/>
        <v>#REF!</v>
      </c>
      <c r="K8" s="65" t="s">
        <v>45</v>
      </c>
      <c r="L8" s="65">
        <v>106.0</v>
      </c>
      <c r="M8" s="65">
        <v>42.36</v>
      </c>
      <c r="N8" s="65">
        <f t="shared" si="6"/>
        <v>4490.16</v>
      </c>
      <c r="O8" s="68">
        <f t="shared" si="7"/>
        <v>11018.63</v>
      </c>
      <c r="P8" s="69" t="str">
        <f t="shared" si="8"/>
        <v>#REF!</v>
      </c>
    </row>
    <row r="9">
      <c r="A9" s="65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>
      <c r="A10" s="65" t="s">
        <v>71</v>
      </c>
      <c r="B10" s="68"/>
      <c r="C10" s="68"/>
      <c r="D10" s="70">
        <f>'Comp Analysis'!B94</f>
        <v>1451.51</v>
      </c>
      <c r="E10" s="69" t="str">
        <f>D10/D$16</f>
        <v>#REF!</v>
      </c>
      <c r="F10" s="68"/>
      <c r="G10" s="68"/>
      <c r="H10" s="68"/>
      <c r="I10" s="68"/>
      <c r="J10" s="68"/>
      <c r="K10" s="68"/>
      <c r="L10" s="68"/>
      <c r="M10" s="71" t="s">
        <v>72</v>
      </c>
      <c r="N10" s="68">
        <f>sum(N5:N8)</f>
        <v>23122.91</v>
      </c>
      <c r="O10" s="68"/>
    </row>
    <row r="1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>
      <c r="A12" s="65" t="s">
        <v>73</v>
      </c>
      <c r="B12" s="68"/>
      <c r="C12" s="68"/>
      <c r="D12" s="68" t="str">
        <f>SUM(D2:D10)</f>
        <v>#REF!</v>
      </c>
      <c r="E12" s="69" t="str">
        <f>D12/D$16</f>
        <v>#REF!</v>
      </c>
      <c r="F12" s="68"/>
      <c r="G12" s="68"/>
      <c r="H12" s="68"/>
      <c r="I12" s="68"/>
      <c r="J12" s="68"/>
      <c r="K12" s="68"/>
      <c r="L12" s="68"/>
      <c r="M12" s="65" t="s">
        <v>74</v>
      </c>
      <c r="N12" s="68" t="str">
        <f>D12-N10</f>
        <v>#REF!</v>
      </c>
      <c r="O12" s="68"/>
    </row>
    <row r="1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>
      <c r="A14" s="65" t="s">
        <v>75</v>
      </c>
      <c r="B14" s="68"/>
      <c r="C14" s="68"/>
      <c r="D14" s="68" t="str">
        <f>'Comp Analysis'!B95-D12</f>
        <v>#REF!</v>
      </c>
      <c r="E14" s="69" t="str">
        <f t="shared" ref="E14:E16" si="9">D14/D$16</f>
        <v>#REF!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>
      <c r="A15" s="65" t="s">
        <v>76</v>
      </c>
      <c r="B15" s="68"/>
      <c r="C15" s="68"/>
      <c r="D15" s="68" t="str">
        <f>D12</f>
        <v>#REF!</v>
      </c>
      <c r="E15" s="69" t="str">
        <f t="shared" si="9"/>
        <v>#REF!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>
      <c r="A16" s="65" t="s">
        <v>77</v>
      </c>
      <c r="B16" s="68"/>
      <c r="C16" s="68"/>
      <c r="D16" s="68" t="str">
        <f>sum(D14:D15)</f>
        <v>#REF!</v>
      </c>
      <c r="E16" s="69" t="str">
        <f t="shared" si="9"/>
        <v>#REF!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24.67"/>
    <col customWidth="1" min="3" max="5" width="11.0"/>
    <col customWidth="1" min="6" max="6" width="16.89"/>
    <col customWidth="1" min="7" max="26" width="11.0"/>
  </cols>
  <sheetData>
    <row r="1" ht="15.75" customHeight="1"/>
    <row r="2" ht="15.75" customHeight="1">
      <c r="B2" s="72" t="s">
        <v>78</v>
      </c>
      <c r="C2" s="72" t="s">
        <v>79</v>
      </c>
      <c r="D2" s="72" t="s">
        <v>61</v>
      </c>
      <c r="E2" s="72" t="s">
        <v>66</v>
      </c>
      <c r="F2" s="72" t="s">
        <v>63</v>
      </c>
      <c r="G2" s="72" t="s">
        <v>80</v>
      </c>
      <c r="H2" s="72" t="s">
        <v>81</v>
      </c>
      <c r="I2" s="72" t="s">
        <v>82</v>
      </c>
      <c r="J2" s="72" t="s">
        <v>83</v>
      </c>
      <c r="K2" s="72" t="s">
        <v>84</v>
      </c>
      <c r="L2" s="72" t="s">
        <v>85</v>
      </c>
      <c r="M2" s="72" t="s">
        <v>86</v>
      </c>
      <c r="N2" s="72" t="s">
        <v>87</v>
      </c>
    </row>
    <row r="3" ht="7.5" customHeight="1">
      <c r="B3" s="72"/>
      <c r="C3" s="73" t="s">
        <v>88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ht="15.75" customHeight="1">
      <c r="B4" s="74" t="s">
        <v>89</v>
      </c>
      <c r="C4" s="75" t="s">
        <v>29</v>
      </c>
      <c r="D4" s="74">
        <v>94.0</v>
      </c>
      <c r="E4" s="76">
        <v>122.83</v>
      </c>
      <c r="F4" s="76">
        <v>11546.02</v>
      </c>
      <c r="G4" s="77">
        <v>0.049</v>
      </c>
      <c r="H4" s="77">
        <v>0.083</v>
      </c>
      <c r="I4" s="74">
        <v>23.0</v>
      </c>
      <c r="J4" s="77">
        <v>0.013</v>
      </c>
      <c r="K4" s="78">
        <v>0.94</v>
      </c>
      <c r="L4" s="74">
        <v>31.0</v>
      </c>
      <c r="M4" s="74">
        <v>60.0</v>
      </c>
      <c r="N4" s="77">
        <v>0.067</v>
      </c>
    </row>
    <row r="5" ht="15.75" customHeight="1">
      <c r="B5" s="74" t="s">
        <v>90</v>
      </c>
      <c r="C5" s="75" t="s">
        <v>30</v>
      </c>
      <c r="D5" s="74">
        <v>100.0</v>
      </c>
      <c r="E5" s="76">
        <v>236.15</v>
      </c>
      <c r="F5" s="76">
        <v>23615.0</v>
      </c>
      <c r="G5" s="77">
        <v>0.099</v>
      </c>
      <c r="H5" s="77">
        <v>0.084</v>
      </c>
      <c r="I5" s="74">
        <v>20.0</v>
      </c>
      <c r="J5" s="77">
        <v>0.008</v>
      </c>
      <c r="K5" s="78">
        <v>0.95</v>
      </c>
      <c r="L5" s="74">
        <v>96.0</v>
      </c>
      <c r="M5" s="79">
        <v>98.0</v>
      </c>
      <c r="N5" s="77">
        <v>0.053</v>
      </c>
    </row>
    <row r="6" ht="15.75" customHeight="1">
      <c r="B6" s="74" t="s">
        <v>91</v>
      </c>
      <c r="C6" s="75" t="s">
        <v>31</v>
      </c>
      <c r="D6" s="74">
        <v>183.28</v>
      </c>
      <c r="E6" s="76">
        <v>94.7</v>
      </c>
      <c r="F6" s="76">
        <v>17356.43</v>
      </c>
      <c r="G6" s="77">
        <v>0.073</v>
      </c>
      <c r="H6" s="77">
        <v>0.14</v>
      </c>
      <c r="I6" s="74">
        <v>13.0</v>
      </c>
      <c r="J6" s="77">
        <v>0.009</v>
      </c>
      <c r="K6" s="78">
        <v>0.96</v>
      </c>
      <c r="L6" s="74">
        <v>55.0</v>
      </c>
      <c r="M6" s="79">
        <v>96.0</v>
      </c>
      <c r="N6" s="80">
        <v>0.119</v>
      </c>
    </row>
    <row r="7" ht="15.75" customHeight="1">
      <c r="B7" s="74" t="s">
        <v>92</v>
      </c>
      <c r="C7" s="75" t="s">
        <v>93</v>
      </c>
      <c r="D7" s="74">
        <v>257.0</v>
      </c>
      <c r="E7" s="76">
        <v>47.9</v>
      </c>
      <c r="F7" s="76">
        <v>12310.3</v>
      </c>
      <c r="G7" s="77">
        <v>0.052</v>
      </c>
      <c r="H7" s="77">
        <v>0.176</v>
      </c>
      <c r="I7" s="74">
        <v>10.0</v>
      </c>
      <c r="J7" s="77">
        <v>0.005</v>
      </c>
      <c r="K7" s="78">
        <v>0.58</v>
      </c>
      <c r="L7" s="74">
        <v>41.0</v>
      </c>
      <c r="M7" s="81">
        <v>66.0</v>
      </c>
      <c r="N7" s="80">
        <v>0.145</v>
      </c>
    </row>
    <row r="8" ht="15.75" customHeight="1">
      <c r="B8" s="74" t="s">
        <v>94</v>
      </c>
      <c r="C8" s="75" t="s">
        <v>69</v>
      </c>
      <c r="D8" s="74">
        <v>38.0</v>
      </c>
      <c r="E8" s="76">
        <v>267.05</v>
      </c>
      <c r="F8" s="76">
        <v>10147.9</v>
      </c>
      <c r="G8" s="77">
        <v>0.043</v>
      </c>
      <c r="H8" s="77">
        <v>0.077</v>
      </c>
      <c r="I8" s="74">
        <v>21.0</v>
      </c>
      <c r="J8" s="77">
        <v>0.0</v>
      </c>
      <c r="K8" s="78">
        <v>0.72</v>
      </c>
      <c r="L8" s="74">
        <v>84.0</v>
      </c>
      <c r="M8" s="79">
        <v>94.0</v>
      </c>
      <c r="N8" s="77">
        <v>0.064</v>
      </c>
    </row>
    <row r="9" ht="15.75" customHeight="1">
      <c r="B9" s="74" t="s">
        <v>95</v>
      </c>
      <c r="C9" s="75" t="s">
        <v>32</v>
      </c>
      <c r="D9" s="74">
        <v>151.0</v>
      </c>
      <c r="E9" s="76">
        <v>75.25</v>
      </c>
      <c r="F9" s="76">
        <v>11362.75</v>
      </c>
      <c r="G9" s="77">
        <v>0.048</v>
      </c>
      <c r="H9" s="77">
        <v>0.096</v>
      </c>
      <c r="I9" s="74">
        <v>9.0</v>
      </c>
      <c r="J9" s="77">
        <v>0.01</v>
      </c>
      <c r="K9" s="78">
        <v>0.34</v>
      </c>
      <c r="L9" s="74">
        <v>35.0</v>
      </c>
      <c r="M9" s="74">
        <v>52.0</v>
      </c>
      <c r="N9" s="80">
        <v>0.119</v>
      </c>
    </row>
    <row r="10" ht="15.75" customHeight="1">
      <c r="B10" s="74" t="s">
        <v>96</v>
      </c>
      <c r="C10" s="75" t="s">
        <v>33</v>
      </c>
      <c r="D10" s="74">
        <v>6.0</v>
      </c>
      <c r="E10" s="76">
        <v>2740.72</v>
      </c>
      <c r="F10" s="76">
        <v>16444.32</v>
      </c>
      <c r="G10" s="77">
        <v>0.069</v>
      </c>
      <c r="H10" s="77">
        <v>0.167</v>
      </c>
      <c r="I10" s="74">
        <v>40.0</v>
      </c>
      <c r="J10" s="77">
        <v>0.0</v>
      </c>
      <c r="K10" s="78">
        <v>0.98</v>
      </c>
      <c r="L10" s="74">
        <v>95.0</v>
      </c>
      <c r="M10" s="79">
        <v>98.0</v>
      </c>
      <c r="N10" s="80">
        <v>0.145</v>
      </c>
    </row>
    <row r="11" ht="15.75" customHeight="1">
      <c r="B11" s="74" t="s">
        <v>96</v>
      </c>
      <c r="C11" s="75" t="s">
        <v>34</v>
      </c>
      <c r="D11" s="74">
        <v>6.0</v>
      </c>
      <c r="E11" s="76">
        <v>2714.77</v>
      </c>
      <c r="F11" s="76">
        <v>16288.62</v>
      </c>
      <c r="G11" s="77">
        <v>0.069</v>
      </c>
      <c r="H11" s="77">
        <v>0.167</v>
      </c>
      <c r="I11" s="74">
        <v>40.0</v>
      </c>
      <c r="J11" s="77">
        <v>0.0</v>
      </c>
      <c r="K11" s="78">
        <v>0.98</v>
      </c>
      <c r="L11" s="74">
        <v>95.0</v>
      </c>
      <c r="M11" s="79">
        <v>98.0</v>
      </c>
      <c r="N11" s="80">
        <v>0.148</v>
      </c>
    </row>
    <row r="12" ht="15.75" customHeight="1">
      <c r="B12" s="74" t="s">
        <v>97</v>
      </c>
      <c r="C12" s="75" t="s">
        <v>98</v>
      </c>
      <c r="D12" s="74">
        <v>360.0</v>
      </c>
      <c r="E12" s="76">
        <v>35.6</v>
      </c>
      <c r="F12" s="76">
        <v>12816.0</v>
      </c>
      <c r="G12" s="77">
        <v>0.054</v>
      </c>
      <c r="H12" s="77">
        <v>0.151</v>
      </c>
      <c r="I12" s="74">
        <v>22.0</v>
      </c>
      <c r="J12" s="77">
        <v>0.0</v>
      </c>
      <c r="K12" s="78">
        <v>0.42</v>
      </c>
      <c r="L12" s="74">
        <v>34.0</v>
      </c>
      <c r="M12" s="74">
        <v>58.0</v>
      </c>
      <c r="N12" s="77">
        <v>0.171</v>
      </c>
    </row>
    <row r="13" ht="15.75" customHeight="1">
      <c r="B13" s="74" t="s">
        <v>99</v>
      </c>
      <c r="C13" s="75" t="s">
        <v>38</v>
      </c>
      <c r="D13" s="74">
        <v>127.0</v>
      </c>
      <c r="E13" s="76">
        <v>193.39</v>
      </c>
      <c r="F13" s="76">
        <v>24560.53</v>
      </c>
      <c r="G13" s="77">
        <v>0.103</v>
      </c>
      <c r="H13" s="77">
        <v>0.082</v>
      </c>
      <c r="I13" s="74">
        <v>22.0</v>
      </c>
      <c r="J13" s="77">
        <v>0.0</v>
      </c>
      <c r="K13" s="78">
        <v>0.74</v>
      </c>
      <c r="L13" s="74">
        <v>92.0</v>
      </c>
      <c r="M13" s="79">
        <v>91.0</v>
      </c>
      <c r="N13" s="77">
        <v>0.016</v>
      </c>
    </row>
    <row r="14" ht="15.75" customHeight="1">
      <c r="B14" s="74" t="s">
        <v>100</v>
      </c>
      <c r="C14" s="75" t="s">
        <v>70</v>
      </c>
      <c r="D14" s="74">
        <v>27.0</v>
      </c>
      <c r="E14" s="76">
        <v>610.86</v>
      </c>
      <c r="F14" s="76">
        <v>16493.22</v>
      </c>
      <c r="G14" s="77">
        <v>0.069</v>
      </c>
      <c r="H14" s="77">
        <v>0.118</v>
      </c>
      <c r="I14" s="74">
        <v>16.0</v>
      </c>
      <c r="J14" s="77">
        <v>0.0</v>
      </c>
      <c r="K14" s="78">
        <v>0.9</v>
      </c>
      <c r="L14" s="74">
        <v>56.0</v>
      </c>
      <c r="M14" s="81">
        <v>79.0</v>
      </c>
      <c r="N14" s="77">
        <v>0.085</v>
      </c>
    </row>
    <row r="15" ht="15.75" customHeight="1">
      <c r="B15" s="74" t="s">
        <v>101</v>
      </c>
      <c r="C15" s="75" t="s">
        <v>102</v>
      </c>
      <c r="D15" s="74">
        <v>429.0</v>
      </c>
      <c r="E15" s="76">
        <v>23.8</v>
      </c>
      <c r="F15" s="76">
        <v>10210.2</v>
      </c>
      <c r="G15" s="77">
        <v>0.043</v>
      </c>
      <c r="H15" s="77">
        <v>0.09</v>
      </c>
      <c r="I15" s="74">
        <v>16.0</v>
      </c>
      <c r="J15" s="77">
        <v>0.008</v>
      </c>
      <c r="K15" s="78">
        <v>0.49</v>
      </c>
      <c r="L15" s="74">
        <v>73.0</v>
      </c>
      <c r="M15" s="79">
        <v>80.0</v>
      </c>
      <c r="N15" s="80">
        <v>0.124</v>
      </c>
    </row>
    <row r="16" ht="15.75" customHeight="1">
      <c r="B16" s="74" t="s">
        <v>103</v>
      </c>
      <c r="C16" s="75" t="s">
        <v>104</v>
      </c>
      <c r="D16" s="74">
        <v>427.0</v>
      </c>
      <c r="E16" s="76">
        <v>21.98</v>
      </c>
      <c r="F16" s="76">
        <v>9385.46</v>
      </c>
      <c r="G16" s="77">
        <v>0.039</v>
      </c>
      <c r="H16" s="77">
        <v>0.141</v>
      </c>
      <c r="I16" s="74">
        <v>15.0</v>
      </c>
      <c r="J16" s="77">
        <v>0.025</v>
      </c>
      <c r="K16" s="78">
        <v>0.58</v>
      </c>
      <c r="L16" s="74">
        <v>67.0</v>
      </c>
      <c r="M16" s="81">
        <v>70.0</v>
      </c>
      <c r="N16" s="77">
        <v>0.189</v>
      </c>
    </row>
    <row r="17" ht="15.75" customHeight="1">
      <c r="B17" s="74" t="s">
        <v>105</v>
      </c>
      <c r="C17" s="75" t="s">
        <v>43</v>
      </c>
      <c r="D17" s="74">
        <v>97.0</v>
      </c>
      <c r="E17" s="76">
        <v>187.27</v>
      </c>
      <c r="F17" s="76">
        <v>18165.19</v>
      </c>
      <c r="G17" s="77">
        <v>0.076</v>
      </c>
      <c r="H17" s="77">
        <v>0.097</v>
      </c>
      <c r="I17" s="74">
        <v>25.0</v>
      </c>
      <c r="J17" s="77">
        <v>0.015</v>
      </c>
      <c r="K17" s="78">
        <v>1.0</v>
      </c>
      <c r="L17" s="74">
        <v>97.0</v>
      </c>
      <c r="M17" s="79">
        <v>96.0</v>
      </c>
      <c r="N17" s="77">
        <v>0.068</v>
      </c>
    </row>
    <row r="18" ht="15.75" customHeight="1">
      <c r="B18" s="74" t="s">
        <v>106</v>
      </c>
      <c r="C18" s="75" t="s">
        <v>107</v>
      </c>
      <c r="D18" s="74">
        <v>33.0</v>
      </c>
      <c r="E18" s="76">
        <v>352.99</v>
      </c>
      <c r="F18" s="76">
        <v>11648.67</v>
      </c>
      <c r="G18" s="77">
        <v>0.049</v>
      </c>
      <c r="H18" s="77">
        <v>0.066</v>
      </c>
      <c r="I18" s="74">
        <v>28.0</v>
      </c>
      <c r="J18" s="77">
        <v>0.0</v>
      </c>
      <c r="K18" s="78">
        <v>0.79</v>
      </c>
      <c r="L18" s="74">
        <v>80.0</v>
      </c>
      <c r="M18" s="79">
        <v>83.0</v>
      </c>
      <c r="N18" s="77">
        <v>0.049</v>
      </c>
    </row>
    <row r="19" ht="15.75" customHeight="1">
      <c r="B19" s="74" t="s">
        <v>108</v>
      </c>
      <c r="C19" s="75" t="s">
        <v>44</v>
      </c>
      <c r="D19" s="74">
        <v>60.0</v>
      </c>
      <c r="E19" s="76">
        <v>241.4</v>
      </c>
      <c r="F19" s="76">
        <v>14484.0</v>
      </c>
      <c r="G19" s="77">
        <v>0.061</v>
      </c>
      <c r="H19" s="77">
        <v>0.102</v>
      </c>
      <c r="I19" s="74">
        <v>34.0</v>
      </c>
      <c r="J19" s="77">
        <v>0.007</v>
      </c>
      <c r="K19" s="78">
        <v>0.99</v>
      </c>
      <c r="L19" s="74">
        <v>97.0</v>
      </c>
      <c r="M19" s="79">
        <v>100.0</v>
      </c>
      <c r="N19" s="77">
        <v>0.077</v>
      </c>
    </row>
    <row r="20" ht="9.0" customHeight="1">
      <c r="B20" s="74"/>
      <c r="C20" s="82" t="s">
        <v>109</v>
      </c>
    </row>
    <row r="21" ht="15.75" customHeight="1">
      <c r="B21" s="74" t="s">
        <v>71</v>
      </c>
      <c r="C21" s="74"/>
      <c r="D21" s="74"/>
      <c r="E21" s="74"/>
      <c r="F21" s="76">
        <v>789.98</v>
      </c>
      <c r="G21" s="77">
        <v>0.003</v>
      </c>
      <c r="H21" s="74"/>
      <c r="I21" s="74"/>
      <c r="J21" s="77">
        <v>0.005</v>
      </c>
      <c r="K21" s="74"/>
      <c r="L21" s="74"/>
      <c r="M21" s="74"/>
      <c r="N21" s="77">
        <v>0.005</v>
      </c>
    </row>
    <row r="22" ht="15.75" customHeight="1">
      <c r="B22" s="74" t="s">
        <v>110</v>
      </c>
      <c r="F22" s="76">
        <v>237624.59</v>
      </c>
      <c r="G22" s="74"/>
      <c r="H22" s="77">
        <v>0.114</v>
      </c>
      <c r="I22" s="74">
        <v>22.7</v>
      </c>
      <c r="J22" s="77">
        <v>0.006</v>
      </c>
      <c r="K22" s="78">
        <v>0.81</v>
      </c>
      <c r="L22" s="74">
        <v>74.0</v>
      </c>
      <c r="M22" s="79">
        <v>84.9</v>
      </c>
      <c r="N22" s="77">
        <v>0.095</v>
      </c>
    </row>
    <row r="23" ht="15.75" customHeight="1">
      <c r="F23" s="83">
        <f>F22-F21</f>
        <v>236834.61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4"/>
    <hyperlink r:id="rId2" ref="C5"/>
    <hyperlink r:id="rId3" ref="C6"/>
    <hyperlink r:id="rId4" ref="C7"/>
    <hyperlink r:id="rId5" ref="C8"/>
    <hyperlink r:id="rId6" ref="C9"/>
    <hyperlink r:id="rId7" ref="C10"/>
    <hyperlink r:id="rId8" ref="C11"/>
    <hyperlink r:id="rId9" ref="C12"/>
    <hyperlink r:id="rId10" ref="C13"/>
    <hyperlink r:id="rId11" ref="C14"/>
    <hyperlink r:id="rId12" ref="C15"/>
    <hyperlink r:id="rId13" ref="C16"/>
    <hyperlink r:id="rId14" ref="C17"/>
    <hyperlink r:id="rId15" ref="C18"/>
    <hyperlink r:id="rId16" ref="C19"/>
  </hyperlinks>
  <printOptions/>
  <pageMargins bottom="0.75" footer="0.0" header="0.0" left="0.7" right="0.7" top="0.75"/>
  <pageSetup orientation="landscape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8.56"/>
    <col customWidth="1" min="3" max="3" width="11.67"/>
    <col customWidth="1" min="4" max="4" width="8.56"/>
    <col customWidth="1" min="5" max="5" width="11.56"/>
    <col customWidth="1" min="6" max="6" width="11.44"/>
    <col customWidth="1" min="7" max="23" width="8.56"/>
    <col customWidth="1" min="24" max="24" width="9.89"/>
    <col customWidth="1" min="25" max="25" width="8.56"/>
    <col customWidth="1" min="26" max="26" width="9.67"/>
    <col customWidth="1" min="27" max="29" width="8.56"/>
  </cols>
  <sheetData>
    <row r="1" ht="15.75" customHeight="1">
      <c r="B1" s="3" t="s">
        <v>4</v>
      </c>
      <c r="C1" s="84">
        <v>44470.0</v>
      </c>
      <c r="D1" s="3" t="s">
        <v>5</v>
      </c>
      <c r="E1" s="7">
        <v>434.24</v>
      </c>
      <c r="F1" s="7"/>
      <c r="H1" s="8" t="s">
        <v>6</v>
      </c>
      <c r="I1" s="9"/>
      <c r="J1" s="9"/>
      <c r="K1" s="9"/>
    </row>
    <row r="2" ht="48.0" customHeight="1">
      <c r="B2" s="10" t="s">
        <v>7</v>
      </c>
      <c r="C2" s="11" t="s">
        <v>8</v>
      </c>
      <c r="D2" s="85" t="s">
        <v>111</v>
      </c>
      <c r="E2" s="10" t="s">
        <v>9</v>
      </c>
      <c r="F2" s="10" t="s">
        <v>10</v>
      </c>
      <c r="G2" s="10" t="s">
        <v>112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113</v>
      </c>
      <c r="N2" s="10" t="s">
        <v>17</v>
      </c>
      <c r="O2" s="10" t="s">
        <v>18</v>
      </c>
      <c r="P2" s="12"/>
      <c r="Q2" s="13" t="s">
        <v>19</v>
      </c>
      <c r="R2" s="14" t="s">
        <v>20</v>
      </c>
      <c r="S2" s="86" t="s">
        <v>114</v>
      </c>
      <c r="T2" s="14" t="s">
        <v>21</v>
      </c>
      <c r="U2" s="14" t="s">
        <v>22</v>
      </c>
      <c r="V2" s="14" t="s">
        <v>23</v>
      </c>
      <c r="W2" s="14" t="s">
        <v>24</v>
      </c>
      <c r="X2" s="15" t="s">
        <v>25</v>
      </c>
      <c r="Y2" s="86" t="s">
        <v>115</v>
      </c>
      <c r="Z2" s="14" t="s">
        <v>26</v>
      </c>
      <c r="AA2" s="14" t="s">
        <v>27</v>
      </c>
      <c r="AB2" s="14" t="s">
        <v>28</v>
      </c>
    </row>
    <row r="3" ht="15.75" customHeight="1"/>
    <row r="4" ht="15.75" customHeight="1">
      <c r="A4" s="16"/>
      <c r="B4" s="16" t="s">
        <v>116</v>
      </c>
      <c r="C4" s="17">
        <v>44362.0</v>
      </c>
      <c r="D4" s="19"/>
      <c r="E4" s="19">
        <v>424.48</v>
      </c>
      <c r="F4" s="19">
        <v>33.15</v>
      </c>
      <c r="G4" s="29">
        <v>33.0001</v>
      </c>
      <c r="H4" s="24">
        <f>IFERROR(__xludf.DUMMYFUNCTION("GOOGLEFINANCE(B4, ""price"")"),24.52)</f>
        <v>24.52</v>
      </c>
      <c r="I4" s="26">
        <f>RRI($W4,$E4,'Comp Analysis'!$D$3)</f>
        <v>-0.03411030286</v>
      </c>
      <c r="J4" s="21">
        <f t="shared" ref="J4:J6" si="1">RRI($W4,$F4,$H4)</f>
        <v>-0.2158762225</v>
      </c>
      <c r="K4" s="26">
        <f>'Comp Analysis'!$D$3/E4-1</f>
        <v>-0.0421221259</v>
      </c>
      <c r="L4" s="21">
        <f t="shared" ref="L4:L6" si="2">H4/F4-1</f>
        <v>-0.260331825</v>
      </c>
      <c r="M4" s="21">
        <f t="shared" ref="M4:M6" si="3">L4-K4</f>
        <v>-0.2182096991</v>
      </c>
      <c r="N4" s="21"/>
      <c r="O4" s="3"/>
      <c r="P4" s="3"/>
      <c r="Q4" s="3">
        <v>30.0</v>
      </c>
      <c r="R4" s="22">
        <f t="shared" ref="R4:R6" si="4">Q4*F4</f>
        <v>994.5</v>
      </c>
      <c r="S4" s="22">
        <f t="shared" ref="S4:S6" si="5">Q4*G4</f>
        <v>990.003</v>
      </c>
      <c r="T4" s="22">
        <f t="shared" ref="T4:T6" si="6">Q4*H4</f>
        <v>735.6</v>
      </c>
      <c r="U4" s="22">
        <f t="shared" ref="U4:U6" si="7">Q4*E4/(E4/F4)</f>
        <v>994.5</v>
      </c>
      <c r="V4" s="22">
        <f>Q4*'Comp Analysis'!$D$3/(E4/F4)</f>
        <v>952.6095458</v>
      </c>
      <c r="W4" s="24">
        <f>ROUND(('Comp Analysis'!$B$3-C4)/365,2)</f>
        <v>1.24</v>
      </c>
      <c r="X4" s="22"/>
      <c r="Y4" s="22"/>
      <c r="Z4" s="22"/>
      <c r="AA4" s="22"/>
      <c r="AB4" s="22"/>
    </row>
    <row r="5" ht="15.75" customHeight="1">
      <c r="A5" s="16"/>
      <c r="B5" s="16" t="s">
        <v>116</v>
      </c>
      <c r="C5" s="17">
        <v>44362.0</v>
      </c>
      <c r="D5" s="19"/>
      <c r="E5" s="19">
        <v>424.48</v>
      </c>
      <c r="F5" s="19">
        <v>33.06</v>
      </c>
      <c r="G5" s="29">
        <v>33.0001</v>
      </c>
      <c r="H5" s="24">
        <f t="shared" ref="H5:H6" si="9">H4</f>
        <v>24.52</v>
      </c>
      <c r="I5" s="26">
        <f>RRI($W5,$E5,'Comp Analysis'!$D$3)</f>
        <v>-0.03411030286</v>
      </c>
      <c r="J5" s="21">
        <f t="shared" si="1"/>
        <v>-0.2141551931</v>
      </c>
      <c r="K5" s="26">
        <f>'Comp Analysis'!$D$3/E5-1</f>
        <v>-0.0421221259</v>
      </c>
      <c r="L5" s="21">
        <f t="shared" si="2"/>
        <v>-0.2583182093</v>
      </c>
      <c r="M5" s="21">
        <f t="shared" si="3"/>
        <v>-0.2161960834</v>
      </c>
      <c r="N5" s="21">
        <f>(Z5/X5)-1</f>
        <v>-0.2584864293</v>
      </c>
      <c r="O5" s="21">
        <f>(AB5/AA5)-1</f>
        <v>-0.0421221259</v>
      </c>
      <c r="P5" s="21"/>
      <c r="Q5" s="3">
        <v>130.0</v>
      </c>
      <c r="R5" s="22">
        <f t="shared" si="4"/>
        <v>4297.8</v>
      </c>
      <c r="S5" s="22">
        <f t="shared" si="5"/>
        <v>4290.013</v>
      </c>
      <c r="T5" s="22">
        <f t="shared" si="6"/>
        <v>3187.6</v>
      </c>
      <c r="U5" s="22">
        <f t="shared" si="7"/>
        <v>4297.8</v>
      </c>
      <c r="V5" s="22">
        <f>Q5*'Comp Analysis'!$D$3/(E5/F5)</f>
        <v>4116.767527</v>
      </c>
      <c r="W5" s="24">
        <f>ROUND(('Comp Analysis'!$B$3-C5)/365,2)</f>
        <v>1.24</v>
      </c>
      <c r="X5" s="22">
        <f t="shared" ref="X5:AB5" si="8">SUM(R4:R6)</f>
        <v>11904.3</v>
      </c>
      <c r="Y5" s="22">
        <f t="shared" si="8"/>
        <v>11880.036</v>
      </c>
      <c r="Z5" s="22">
        <f t="shared" si="8"/>
        <v>8827.2</v>
      </c>
      <c r="AA5" s="22">
        <f t="shared" si="8"/>
        <v>11904.3</v>
      </c>
      <c r="AB5" s="22">
        <f t="shared" si="8"/>
        <v>11402.86558</v>
      </c>
    </row>
    <row r="6" ht="15.75" customHeight="1">
      <c r="A6" s="16"/>
      <c r="B6" s="16" t="s">
        <v>116</v>
      </c>
      <c r="C6" s="17">
        <v>44362.0</v>
      </c>
      <c r="D6" s="19"/>
      <c r="E6" s="19">
        <v>424.48</v>
      </c>
      <c r="F6" s="19">
        <v>33.06</v>
      </c>
      <c r="G6" s="29">
        <v>33.0001</v>
      </c>
      <c r="H6" s="24">
        <f t="shared" si="9"/>
        <v>24.52</v>
      </c>
      <c r="I6" s="26">
        <f>RRI($W6,$E6,'Comp Analysis'!$D$3)</f>
        <v>-0.03411030286</v>
      </c>
      <c r="J6" s="21">
        <f t="shared" si="1"/>
        <v>-0.2141551931</v>
      </c>
      <c r="K6" s="26">
        <f>'Comp Analysis'!$D$3/E6-1</f>
        <v>-0.0421221259</v>
      </c>
      <c r="L6" s="21">
        <f t="shared" si="2"/>
        <v>-0.2583182093</v>
      </c>
      <c r="M6" s="21">
        <f t="shared" si="3"/>
        <v>-0.2161960834</v>
      </c>
      <c r="N6" s="21"/>
      <c r="O6" s="3"/>
      <c r="P6" s="3"/>
      <c r="Q6" s="3">
        <v>200.0</v>
      </c>
      <c r="R6" s="22">
        <f t="shared" si="4"/>
        <v>6612</v>
      </c>
      <c r="S6" s="22">
        <f t="shared" si="5"/>
        <v>6600.02</v>
      </c>
      <c r="T6" s="22">
        <f t="shared" si="6"/>
        <v>4904</v>
      </c>
      <c r="U6" s="22">
        <f t="shared" si="7"/>
        <v>6612</v>
      </c>
      <c r="V6" s="22">
        <f>Q6*'Comp Analysis'!$D$3/(E6/F6)</f>
        <v>6333.488504</v>
      </c>
      <c r="W6" s="24">
        <f>ROUND(('Comp Analysis'!$B$3-C6)/365,2)</f>
        <v>1.24</v>
      </c>
      <c r="X6" s="22"/>
      <c r="Y6" s="22"/>
      <c r="Z6" s="22"/>
      <c r="AA6" s="22"/>
      <c r="AB6" s="22"/>
    </row>
    <row r="7" ht="8.25" customHeight="1">
      <c r="A7" s="16"/>
      <c r="B7" s="17"/>
      <c r="C7" s="19"/>
      <c r="D7" s="19"/>
      <c r="E7" s="19"/>
      <c r="F7" s="24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2"/>
      <c r="S7" s="22"/>
      <c r="T7" s="22"/>
      <c r="U7" s="3"/>
      <c r="V7" s="22"/>
      <c r="W7" s="22"/>
      <c r="X7" s="22"/>
      <c r="Y7" s="22"/>
      <c r="Z7" s="22"/>
    </row>
    <row r="8" ht="15.75" customHeight="1"/>
    <row r="9" ht="15.75" customHeight="1">
      <c r="B9" s="3" t="s">
        <v>102</v>
      </c>
      <c r="C9" s="23">
        <v>44179.0</v>
      </c>
      <c r="D9" s="24"/>
      <c r="E9" s="24">
        <v>364.66</v>
      </c>
      <c r="F9" s="24">
        <v>19.77</v>
      </c>
      <c r="G9" s="24">
        <v>22.45</v>
      </c>
      <c r="H9" s="24">
        <v>27.88</v>
      </c>
      <c r="I9" s="21">
        <f>RRI($W9,$E9,'Comp Analysis'!$D$3)</f>
        <v>0.06456450287</v>
      </c>
      <c r="J9" s="21">
        <f>RRI($W9,$F9,$H9)</f>
        <v>0.2184188499</v>
      </c>
      <c r="K9" s="21">
        <f>'Comp Analysis'!$D$3/E9-1</f>
        <v>0.1150112433</v>
      </c>
      <c r="L9" s="21">
        <f>H9/F9-1</f>
        <v>0.4102175013</v>
      </c>
      <c r="M9" s="21">
        <f>L9-K9</f>
        <v>0.2952062579</v>
      </c>
      <c r="N9" s="21">
        <f>(Z9/X9)-1</f>
        <v>0.4102175013</v>
      </c>
      <c r="O9" s="21">
        <f>(AB9/AA9)-1</f>
        <v>0.1150112433</v>
      </c>
      <c r="P9" s="21"/>
      <c r="Q9" s="3">
        <v>429.0</v>
      </c>
      <c r="R9" s="22">
        <f>Q9*F9</f>
        <v>8481.33</v>
      </c>
      <c r="S9" s="22">
        <f>Q9*G9</f>
        <v>9631.05</v>
      </c>
      <c r="T9" s="22">
        <f>Q9*H9</f>
        <v>11960.52</v>
      </c>
      <c r="U9" s="22">
        <f>Q9*E9/(E9/F9)</f>
        <v>8481.33</v>
      </c>
      <c r="V9" s="22">
        <f>Q9*'Comp Analysis'!$D$3/(E9/F9)</f>
        <v>9456.778309</v>
      </c>
      <c r="W9" s="24">
        <f>ROUND(('Comp Analysis'!$B$3-C9)/365,2)</f>
        <v>1.74</v>
      </c>
      <c r="X9" s="22">
        <f t="shared" ref="X9:AB9" si="10">R9</f>
        <v>8481.33</v>
      </c>
      <c r="Y9" s="22">
        <f t="shared" si="10"/>
        <v>9631.05</v>
      </c>
      <c r="Z9" s="22">
        <f t="shared" si="10"/>
        <v>11960.52</v>
      </c>
      <c r="AA9" s="22">
        <f t="shared" si="10"/>
        <v>8481.33</v>
      </c>
      <c r="AB9" s="22">
        <f t="shared" si="10"/>
        <v>9456.778309</v>
      </c>
    </row>
    <row r="10" ht="6.0" customHeight="1">
      <c r="B10" s="16"/>
      <c r="C10" s="17"/>
      <c r="D10" s="24"/>
      <c r="E10" s="24"/>
      <c r="F10" s="19"/>
      <c r="G10" s="19"/>
      <c r="H10" s="24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3"/>
      <c r="X10" s="22"/>
      <c r="Y10" s="22"/>
      <c r="Z10" s="22"/>
      <c r="AA10" s="22"/>
      <c r="AB10" s="22"/>
    </row>
    <row r="11" ht="15.75" customHeight="1">
      <c r="B11" s="16" t="s">
        <v>104</v>
      </c>
      <c r="C11" s="17">
        <v>44298.0</v>
      </c>
      <c r="D11" s="24"/>
      <c r="E11" s="24">
        <v>411.64</v>
      </c>
      <c r="F11" s="19">
        <v>25.0</v>
      </c>
      <c r="G11" s="19">
        <f t="shared" ref="G11:G14" si="11">(100*21.6098+127*21.5998+200*21.6699)/427</f>
        <v>21.63497564</v>
      </c>
      <c r="H11" s="24">
        <v>20.98</v>
      </c>
      <c r="I11" s="21">
        <f>RRI($W11,$E11,'Comp Analysis'!$D$3)</f>
        <v>-0.008699020506</v>
      </c>
      <c r="J11" s="21">
        <f t="shared" ref="J11:J14" si="12">RRI($W11,$F11,$H11)</f>
        <v>-0.1169122038</v>
      </c>
      <c r="K11" s="21">
        <f>'Comp Analysis'!$D$3/E11-1</f>
        <v>-0.01224370809</v>
      </c>
      <c r="L11" s="21">
        <f t="shared" ref="L11:L14" si="13">H11/F11-1</f>
        <v>-0.1608</v>
      </c>
      <c r="M11" s="21">
        <f t="shared" ref="M11:M14" si="14">L11-K11</f>
        <v>-0.1485562919</v>
      </c>
      <c r="N11" s="21"/>
      <c r="O11" s="3"/>
      <c r="P11" s="3"/>
      <c r="Q11" s="3">
        <v>260.0</v>
      </c>
      <c r="R11" s="22">
        <f t="shared" ref="R11:R14" si="15">Q11*F11</f>
        <v>6500</v>
      </c>
      <c r="S11" s="22">
        <f t="shared" ref="S11:S14" si="16">Q11*G11</f>
        <v>5625.093667</v>
      </c>
      <c r="T11" s="22">
        <f t="shared" ref="T11:T14" si="17">Q11*H11</f>
        <v>5454.8</v>
      </c>
      <c r="U11" s="22">
        <f t="shared" ref="U11:U14" si="18">Q11*E11/(E11/F11)</f>
        <v>6500</v>
      </c>
      <c r="V11" s="22">
        <f>Q11*'Comp Analysis'!$D$3/(E11/F11)</f>
        <v>6420.415897</v>
      </c>
      <c r="W11" s="24">
        <f>ROUND(('Comp Analysis'!$B$3-C11)/365,2)</f>
        <v>1.41</v>
      </c>
      <c r="X11" s="22"/>
      <c r="Y11" s="22"/>
      <c r="Z11" s="22"/>
      <c r="AA11" s="22"/>
      <c r="AB11" s="22"/>
    </row>
    <row r="12" ht="15.75" customHeight="1">
      <c r="B12" s="16" t="s">
        <v>104</v>
      </c>
      <c r="C12" s="17">
        <v>44326.0</v>
      </c>
      <c r="D12" s="24"/>
      <c r="E12" s="24">
        <v>417.94</v>
      </c>
      <c r="F12" s="19">
        <v>25.5</v>
      </c>
      <c r="G12" s="19">
        <f t="shared" si="11"/>
        <v>21.63497564</v>
      </c>
      <c r="H12" s="24">
        <f t="shared" ref="H12:H14" si="19">H11</f>
        <v>20.98</v>
      </c>
      <c r="I12" s="21">
        <f>RRI($W12,$E12,'Comp Analysis'!$D$3)</f>
        <v>-0.02031907155</v>
      </c>
      <c r="J12" s="21">
        <f t="shared" si="12"/>
        <v>-0.1354996931</v>
      </c>
      <c r="K12" s="21">
        <f>'Comp Analysis'!$D$3/E12-1</f>
        <v>-0.0271330813</v>
      </c>
      <c r="L12" s="21">
        <f t="shared" si="13"/>
        <v>-0.177254902</v>
      </c>
      <c r="M12" s="21">
        <f t="shared" si="14"/>
        <v>-0.1501218207</v>
      </c>
      <c r="N12" s="21"/>
      <c r="O12" s="3"/>
      <c r="P12" s="3"/>
      <c r="Q12" s="3">
        <v>50.0</v>
      </c>
      <c r="R12" s="22">
        <f t="shared" si="15"/>
        <v>1275</v>
      </c>
      <c r="S12" s="22">
        <f t="shared" si="16"/>
        <v>1081.748782</v>
      </c>
      <c r="T12" s="22">
        <f t="shared" si="17"/>
        <v>1049</v>
      </c>
      <c r="U12" s="22">
        <f t="shared" si="18"/>
        <v>1275</v>
      </c>
      <c r="V12" s="22">
        <f>Q12*'Comp Analysis'!$D$3/(E12/F12)</f>
        <v>1240.405321</v>
      </c>
      <c r="W12" s="24">
        <f>ROUND(('Comp Analysis'!$B$3-C12)/365,2)</f>
        <v>1.34</v>
      </c>
      <c r="X12" s="22"/>
      <c r="Y12" s="22"/>
      <c r="Z12" s="22"/>
      <c r="AA12" s="22"/>
      <c r="AB12" s="22"/>
    </row>
    <row r="13" ht="15.75" customHeight="1">
      <c r="B13" s="16" t="s">
        <v>104</v>
      </c>
      <c r="C13" s="17">
        <v>44361.0</v>
      </c>
      <c r="D13" s="24"/>
      <c r="E13" s="24">
        <v>425.26</v>
      </c>
      <c r="F13" s="19">
        <v>25.1</v>
      </c>
      <c r="G13" s="19">
        <f t="shared" si="11"/>
        <v>21.63497564</v>
      </c>
      <c r="H13" s="24">
        <f t="shared" si="19"/>
        <v>20.98</v>
      </c>
      <c r="I13" s="21">
        <f>RRI($W13,$E13,'Comp Analysis'!$D$3)</f>
        <v>-0.03553927267</v>
      </c>
      <c r="J13" s="21">
        <f t="shared" si="12"/>
        <v>-0.1346276112</v>
      </c>
      <c r="K13" s="21">
        <f>'Comp Analysis'!$D$3/E13-1</f>
        <v>-0.04387903871</v>
      </c>
      <c r="L13" s="21">
        <f t="shared" si="13"/>
        <v>-0.1641434263</v>
      </c>
      <c r="M13" s="21">
        <f t="shared" si="14"/>
        <v>-0.1202643876</v>
      </c>
      <c r="N13" s="21">
        <f>(Z13/X13)-1</f>
        <v>-0.1525758178</v>
      </c>
      <c r="O13" s="21">
        <f>(AB13/AA13)-1</f>
        <v>-0.02580957261</v>
      </c>
      <c r="P13" s="21"/>
      <c r="Q13" s="3">
        <v>56.0</v>
      </c>
      <c r="R13" s="22">
        <f t="shared" si="15"/>
        <v>1405.6</v>
      </c>
      <c r="S13" s="22">
        <f t="shared" si="16"/>
        <v>1211.558636</v>
      </c>
      <c r="T13" s="22">
        <f t="shared" si="17"/>
        <v>1174.88</v>
      </c>
      <c r="U13" s="22">
        <f t="shared" si="18"/>
        <v>1405.6</v>
      </c>
      <c r="V13" s="22">
        <f>Q13*'Comp Analysis'!$D$3/(E13/F13)</f>
        <v>1343.923623</v>
      </c>
      <c r="W13" s="24">
        <f>ROUND(('Comp Analysis'!$B$3-C13)/365,2)</f>
        <v>1.24</v>
      </c>
      <c r="X13" s="22">
        <f t="shared" ref="X13:AB13" si="20">SUM(R11:R14)</f>
        <v>10571.4</v>
      </c>
      <c r="Y13" s="22">
        <f t="shared" si="20"/>
        <v>9238.1346</v>
      </c>
      <c r="Z13" s="22">
        <f t="shared" si="20"/>
        <v>8958.46</v>
      </c>
      <c r="AA13" s="22">
        <f t="shared" si="20"/>
        <v>10571.4</v>
      </c>
      <c r="AB13" s="22">
        <f t="shared" si="20"/>
        <v>10298.55668</v>
      </c>
    </row>
    <row r="14" ht="18.0" customHeight="1">
      <c r="B14" s="16" t="s">
        <v>104</v>
      </c>
      <c r="C14" s="17">
        <v>44389.0</v>
      </c>
      <c r="D14" s="24"/>
      <c r="E14" s="24">
        <v>437.08</v>
      </c>
      <c r="F14" s="19">
        <v>22.8</v>
      </c>
      <c r="G14" s="19">
        <f t="shared" si="11"/>
        <v>21.63497564</v>
      </c>
      <c r="H14" s="24">
        <f t="shared" si="19"/>
        <v>20.98</v>
      </c>
      <c r="I14" s="21">
        <f>RRI($W14,$E14,'Comp Analysis'!$D$3)</f>
        <v>-0.06041389392</v>
      </c>
      <c r="J14" s="21">
        <f t="shared" si="12"/>
        <v>-0.06920509518</v>
      </c>
      <c r="K14" s="21">
        <f>'Comp Analysis'!$D$3/E14-1</f>
        <v>-0.06973551753</v>
      </c>
      <c r="L14" s="21">
        <f t="shared" si="13"/>
        <v>-0.0798245614</v>
      </c>
      <c r="M14" s="21">
        <f t="shared" si="14"/>
        <v>-0.01008904388</v>
      </c>
      <c r="N14" s="21"/>
      <c r="O14" s="3"/>
      <c r="P14" s="3"/>
      <c r="Q14" s="3">
        <v>61.0</v>
      </c>
      <c r="R14" s="22">
        <f t="shared" si="15"/>
        <v>1390.8</v>
      </c>
      <c r="S14" s="22">
        <f t="shared" si="16"/>
        <v>1319.733514</v>
      </c>
      <c r="T14" s="22">
        <f t="shared" si="17"/>
        <v>1279.78</v>
      </c>
      <c r="U14" s="22">
        <f t="shared" si="18"/>
        <v>1390.8</v>
      </c>
      <c r="V14" s="22">
        <f>Q14*'Comp Analysis'!$D$3/(E14/F14)</f>
        <v>1293.811842</v>
      </c>
      <c r="W14" s="24">
        <f>ROUND(('Comp Analysis'!$B$3-C14)/365,2)</f>
        <v>1.16</v>
      </c>
      <c r="X14" s="22"/>
      <c r="Y14" s="22"/>
      <c r="Z14" s="22"/>
      <c r="AA14" s="22"/>
      <c r="AB14" s="22"/>
    </row>
    <row r="15" ht="15.75" customHeight="1"/>
    <row r="16" ht="15.75" customHeight="1">
      <c r="A16" s="16"/>
      <c r="B16" s="16" t="s">
        <v>117</v>
      </c>
      <c r="C16" s="31">
        <v>44515.0</v>
      </c>
      <c r="D16" s="19"/>
      <c r="E16" s="19">
        <v>467.46</v>
      </c>
      <c r="F16" s="19">
        <v>164.91</v>
      </c>
      <c r="G16" s="29">
        <v>102.12</v>
      </c>
      <c r="H16" s="24">
        <f>IFERROR(__xludf.DUMMYFUNCTION("GOOGLEFINANCE(B16, ""closeyest"")"),99.88)</f>
        <v>99.88</v>
      </c>
      <c r="I16" s="21">
        <f>RRI($W16,$E16,'Comp Analysis'!$D$3)</f>
        <v>-0.1564214822</v>
      </c>
      <c r="J16" s="21">
        <f t="shared" ref="J16:J20" si="21">RRI($W16,$F16,$H16)</f>
        <v>-0.4574638143</v>
      </c>
      <c r="K16" s="21">
        <f>'Comp Analysis'!$D$3/E16-1</f>
        <v>-0.1301929577</v>
      </c>
      <c r="L16" s="21">
        <f t="shared" ref="L16:L20" si="22">H16/F16-1</f>
        <v>-0.3943363047</v>
      </c>
      <c r="M16" s="21">
        <f t="shared" ref="M16:M20" si="23">L16-K16</f>
        <v>-0.264143347</v>
      </c>
      <c r="Q16" s="3">
        <v>8.0</v>
      </c>
      <c r="R16" s="22">
        <f t="shared" ref="R16:R20" si="24">Q16*F16</f>
        <v>1319.28</v>
      </c>
      <c r="S16" s="22">
        <f t="shared" ref="S16:S20" si="25">Q16*G16</f>
        <v>816.96</v>
      </c>
      <c r="T16" s="22">
        <f t="shared" ref="T16:T20" si="26">Q16*H16</f>
        <v>799.04</v>
      </c>
      <c r="U16" s="22">
        <f t="shared" ref="U16:U20" si="27">Q16*E16/(E16/F16)</f>
        <v>1319.28</v>
      </c>
      <c r="V16" s="22">
        <f>Q16*'Comp Analysis'!$D$3/(E16/F16)</f>
        <v>1147.519035</v>
      </c>
      <c r="W16" s="24">
        <f>ROUND(('Comp Analysis'!$B$3-C16)/365,2)</f>
        <v>0.82</v>
      </c>
    </row>
    <row r="17" ht="15.75" customHeight="1">
      <c r="A17" s="16"/>
      <c r="B17" s="16" t="s">
        <v>117</v>
      </c>
      <c r="C17" s="31">
        <v>44543.0</v>
      </c>
      <c r="D17" s="16"/>
      <c r="E17" s="16">
        <v>466.57</v>
      </c>
      <c r="F17" s="19">
        <v>161.4</v>
      </c>
      <c r="G17" s="29">
        <v>102.12</v>
      </c>
      <c r="H17" s="87">
        <f t="shared" ref="H17:H20" si="29">H16</f>
        <v>99.88</v>
      </c>
      <c r="I17" s="26">
        <f>RRI($W17,$E17,'Comp Analysis'!$D$3)</f>
        <v>-0.1696570198</v>
      </c>
      <c r="J17" s="21">
        <f t="shared" si="21"/>
        <v>-0.4771891415</v>
      </c>
      <c r="K17" s="26">
        <f>'Comp Analysis'!$D$3/E17-1</f>
        <v>-0.1285337677</v>
      </c>
      <c r="L17" s="21">
        <f t="shared" si="22"/>
        <v>-0.3811648079</v>
      </c>
      <c r="M17" s="21">
        <f t="shared" si="23"/>
        <v>-0.2526310402</v>
      </c>
      <c r="N17" s="21">
        <f>(Z17/X17)-1</f>
        <v>-0.3497610756</v>
      </c>
      <c r="O17" s="21">
        <f>(AB17/AA17)-1</f>
        <v>-0.1153032345</v>
      </c>
      <c r="Q17" s="3">
        <v>33.0</v>
      </c>
      <c r="R17" s="22">
        <f t="shared" si="24"/>
        <v>5326.2</v>
      </c>
      <c r="S17" s="22">
        <f t="shared" si="25"/>
        <v>3369.96</v>
      </c>
      <c r="T17" s="22">
        <f t="shared" si="26"/>
        <v>3296.04</v>
      </c>
      <c r="U17" s="22">
        <f t="shared" si="27"/>
        <v>5326.2</v>
      </c>
      <c r="V17" s="22">
        <f>Q17*'Comp Analysis'!$D$3/(E17/F17)</f>
        <v>4641.603446</v>
      </c>
      <c r="W17" s="24">
        <f>ROUND(('Comp Analysis'!$B$3-C17)/365,2)</f>
        <v>0.74</v>
      </c>
      <c r="X17" s="22">
        <f t="shared" ref="X17:AB17" si="28">SUM(R16:R20)</f>
        <v>9984.33</v>
      </c>
      <c r="Y17" s="22">
        <f t="shared" si="28"/>
        <v>6637.8</v>
      </c>
      <c r="Z17" s="22">
        <f t="shared" si="28"/>
        <v>6492.2</v>
      </c>
      <c r="AA17" s="22">
        <f t="shared" si="28"/>
        <v>9984.33</v>
      </c>
      <c r="AB17" s="22">
        <f t="shared" si="28"/>
        <v>8833.104457</v>
      </c>
    </row>
    <row r="18" ht="15.75" customHeight="1">
      <c r="A18" s="16"/>
      <c r="B18" s="16" t="s">
        <v>117</v>
      </c>
      <c r="C18" s="31">
        <v>44545.0</v>
      </c>
      <c r="D18" s="16"/>
      <c r="E18" s="16">
        <v>470.6</v>
      </c>
      <c r="F18" s="19">
        <v>155.45</v>
      </c>
      <c r="G18" s="29">
        <v>102.12</v>
      </c>
      <c r="H18" s="87">
        <f t="shared" si="29"/>
        <v>99.88</v>
      </c>
      <c r="I18" s="26">
        <f>RRI($W18,$E18,'Comp Analysis'!$D$3)</f>
        <v>-0.1792515532</v>
      </c>
      <c r="J18" s="21">
        <f t="shared" si="21"/>
        <v>-0.449966769</v>
      </c>
      <c r="K18" s="26">
        <f>'Comp Analysis'!$D$3/E18-1</f>
        <v>-0.1359966001</v>
      </c>
      <c r="L18" s="21">
        <f t="shared" si="22"/>
        <v>-0.3574782888</v>
      </c>
      <c r="M18" s="21">
        <f t="shared" si="23"/>
        <v>-0.2214816888</v>
      </c>
      <c r="Q18" s="3">
        <v>5.0</v>
      </c>
      <c r="R18" s="22">
        <f t="shared" si="24"/>
        <v>777.25</v>
      </c>
      <c r="S18" s="22">
        <f t="shared" si="25"/>
        <v>510.6</v>
      </c>
      <c r="T18" s="22">
        <f t="shared" si="26"/>
        <v>499.4</v>
      </c>
      <c r="U18" s="22">
        <f t="shared" si="27"/>
        <v>777.25</v>
      </c>
      <c r="V18" s="22">
        <f>Q18*'Comp Analysis'!$D$3/(E18/F18)</f>
        <v>671.5466426</v>
      </c>
      <c r="W18" s="24">
        <f>ROUND(('Comp Analysis'!$B$3-C18)/365,2)</f>
        <v>0.74</v>
      </c>
    </row>
    <row r="19" ht="15.75" customHeight="1">
      <c r="A19" s="16"/>
      <c r="B19" s="16" t="s">
        <v>117</v>
      </c>
      <c r="C19" s="32">
        <v>44606.0</v>
      </c>
      <c r="D19" s="27"/>
      <c r="E19" s="27">
        <v>439.02</v>
      </c>
      <c r="F19" s="30">
        <v>134.8</v>
      </c>
      <c r="G19" s="29">
        <v>102.12</v>
      </c>
      <c r="H19" s="87">
        <f t="shared" si="29"/>
        <v>99.88</v>
      </c>
      <c r="I19" s="26">
        <f>RRI($W19,$E19,'Comp Analysis'!$D$3)</f>
        <v>-0.1259239035</v>
      </c>
      <c r="J19" s="21">
        <f t="shared" si="21"/>
        <v>-0.4090387289</v>
      </c>
      <c r="K19" s="26">
        <f>'Comp Analysis'!$D$3/E19-1</f>
        <v>-0.07384629402</v>
      </c>
      <c r="L19" s="21">
        <f t="shared" si="22"/>
        <v>-0.2590504451</v>
      </c>
      <c r="M19" s="21">
        <f t="shared" si="23"/>
        <v>-0.1852041511</v>
      </c>
      <c r="Q19" s="1">
        <v>9.0</v>
      </c>
      <c r="R19" s="22">
        <f t="shared" si="24"/>
        <v>1213.2</v>
      </c>
      <c r="S19" s="22">
        <f t="shared" si="25"/>
        <v>919.08</v>
      </c>
      <c r="T19" s="22">
        <f t="shared" si="26"/>
        <v>898.92</v>
      </c>
      <c r="U19" s="22">
        <f t="shared" si="27"/>
        <v>1213.2</v>
      </c>
      <c r="V19" s="22">
        <f>Q19*'Comp Analysis'!$D$3/(E19/F19)</f>
        <v>1123.609676</v>
      </c>
      <c r="W19" s="24">
        <f>ROUND(('Comp Analysis'!$B$3-C19)/365,2)</f>
        <v>0.57</v>
      </c>
    </row>
    <row r="20" ht="15.75" customHeight="1">
      <c r="A20" s="16"/>
      <c r="B20" s="16" t="s">
        <v>117</v>
      </c>
      <c r="C20" s="32">
        <v>44606.0</v>
      </c>
      <c r="D20" s="27"/>
      <c r="E20" s="27">
        <v>439.02</v>
      </c>
      <c r="F20" s="30">
        <v>134.84</v>
      </c>
      <c r="G20" s="29">
        <v>102.12</v>
      </c>
      <c r="H20" s="87">
        <f t="shared" si="29"/>
        <v>99.88</v>
      </c>
      <c r="I20" s="26">
        <f>RRI($W20,$E20,'Comp Analysis'!$D$3)</f>
        <v>-0.1259239035</v>
      </c>
      <c r="J20" s="21">
        <f t="shared" si="21"/>
        <v>-0.4093462513</v>
      </c>
      <c r="K20" s="26">
        <f>'Comp Analysis'!$D$3/E20-1</f>
        <v>-0.07384629402</v>
      </c>
      <c r="L20" s="21">
        <f t="shared" si="22"/>
        <v>-0.2592702462</v>
      </c>
      <c r="M20" s="21">
        <f t="shared" si="23"/>
        <v>-0.1854239522</v>
      </c>
      <c r="Q20" s="1">
        <v>10.0</v>
      </c>
      <c r="R20" s="22">
        <f t="shared" si="24"/>
        <v>1348.4</v>
      </c>
      <c r="S20" s="22">
        <f t="shared" si="25"/>
        <v>1021.2</v>
      </c>
      <c r="T20" s="22">
        <f t="shared" si="26"/>
        <v>998.8</v>
      </c>
      <c r="U20" s="22">
        <f t="shared" si="27"/>
        <v>1348.4</v>
      </c>
      <c r="V20" s="22">
        <f>Q20*'Comp Analysis'!$D$3/(E20/F20)</f>
        <v>1248.825657</v>
      </c>
      <c r="W20" s="24">
        <f>ROUND(('Comp Analysis'!$B$3-C20)/365,2)</f>
        <v>0.57</v>
      </c>
    </row>
    <row r="21" ht="6.0" customHeight="1">
      <c r="A21" s="16"/>
      <c r="B21" s="31"/>
      <c r="C21" s="88"/>
      <c r="D21" s="19"/>
      <c r="E21" s="19"/>
      <c r="G21" s="26"/>
      <c r="H21" s="21"/>
      <c r="I21" s="26"/>
      <c r="J21" s="21"/>
      <c r="K21" s="21"/>
      <c r="O21" s="3"/>
      <c r="P21" s="22"/>
      <c r="Q21" s="22"/>
      <c r="R21" s="22"/>
      <c r="S21" s="22"/>
      <c r="T21" s="22"/>
      <c r="U21" s="24"/>
    </row>
    <row r="22" ht="15.75" customHeight="1">
      <c r="A22" s="16"/>
      <c r="B22" s="16" t="s">
        <v>69</v>
      </c>
      <c r="C22" s="17">
        <v>43416.0</v>
      </c>
      <c r="D22" s="89">
        <v>44725.0</v>
      </c>
      <c r="E22" s="19">
        <v>272.57</v>
      </c>
      <c r="F22" s="19">
        <v>194.322895</v>
      </c>
      <c r="G22" s="29">
        <v>228.945</v>
      </c>
      <c r="H22" s="24">
        <f>IFERROR(__xludf.DUMMYFUNCTION("GOOGLEFINANCE(B22, ""price"")"),220.46)</f>
        <v>220.46</v>
      </c>
      <c r="I22" s="26">
        <f>RRI($W22,$E22,'Comp Analysis'!$D$3)</f>
        <v>0.1100682774</v>
      </c>
      <c r="J22" s="21">
        <f>RRI($W22,$F22,$H22)</f>
        <v>0.0334979428</v>
      </c>
      <c r="K22" s="26">
        <f>'Comp Analysis'!$D$3/E22-1</f>
        <v>0.4917268958</v>
      </c>
      <c r="L22" s="21">
        <f>H22/F22-1</f>
        <v>0.1345034768</v>
      </c>
      <c r="M22" s="21">
        <f>L22-K22</f>
        <v>-0.357223419</v>
      </c>
      <c r="N22" s="21">
        <f>(Z22/X22)-1</f>
        <v>0.1345034768</v>
      </c>
      <c r="O22" s="21">
        <f>(AB22/AA22)-1</f>
        <v>0.4917268958</v>
      </c>
      <c r="P22" s="21"/>
      <c r="Q22" s="3">
        <v>38.0</v>
      </c>
      <c r="R22" s="22">
        <f>Q22*F22</f>
        <v>7384.27001</v>
      </c>
      <c r="S22" s="22">
        <f>Q22*G22</f>
        <v>8699.91</v>
      </c>
      <c r="T22" s="22">
        <f>Q22*H22</f>
        <v>8377.48</v>
      </c>
      <c r="U22" s="22">
        <f>Q22*E22/(E22/F22)</f>
        <v>7384.27001</v>
      </c>
      <c r="V22" s="22">
        <f>Q22*'Comp Analysis'!$D$3/(E22/F22)</f>
        <v>11015.31418</v>
      </c>
      <c r="W22" s="24">
        <f>ROUND(('Comp Analysis'!$B$3-C22)/365,2)</f>
        <v>3.83</v>
      </c>
      <c r="X22" s="22">
        <f t="shared" ref="X22:AB22" si="30">R22</f>
        <v>7384.27001</v>
      </c>
      <c r="Y22" s="22">
        <f t="shared" si="30"/>
        <v>8699.91</v>
      </c>
      <c r="Z22" s="22">
        <f t="shared" si="30"/>
        <v>8377.48</v>
      </c>
      <c r="AA22" s="22">
        <f t="shared" si="30"/>
        <v>7384.27001</v>
      </c>
      <c r="AB22" s="22">
        <f t="shared" si="30"/>
        <v>11015.31418</v>
      </c>
    </row>
    <row r="23" ht="6.0" customHeight="1">
      <c r="A23" s="16"/>
      <c r="B23" s="17"/>
      <c r="C23" s="24"/>
      <c r="D23" s="19"/>
      <c r="E23" s="19"/>
      <c r="F23" s="24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3"/>
      <c r="V23" s="22"/>
      <c r="W23" s="22"/>
      <c r="X23" s="22"/>
      <c r="Y23" s="22"/>
      <c r="Z23" s="22"/>
    </row>
    <row r="24" ht="15.75" customHeight="1">
      <c r="A24" s="3"/>
      <c r="B24" s="3" t="s">
        <v>70</v>
      </c>
      <c r="C24" s="23">
        <v>43570.0</v>
      </c>
      <c r="D24" s="89">
        <v>44725.0</v>
      </c>
      <c r="E24" s="24">
        <v>289.97</v>
      </c>
      <c r="F24" s="24">
        <v>376.280952</v>
      </c>
      <c r="G24" s="29">
        <v>560.4026</v>
      </c>
      <c r="H24" s="24">
        <f>IFERROR(__xludf.DUMMYFUNCTION("GOOGLEFINANCE(B24, ""price"")"),724.32)</f>
        <v>724.32</v>
      </c>
      <c r="I24" s="21">
        <f>RRI($W24,$E24,'Comp Analysis'!$D$3)</f>
        <v>0.1042160327</v>
      </c>
      <c r="J24" s="21">
        <f t="shared" ref="J24:J26" si="31">RRI($W24,$F24,$H24)</f>
        <v>0.2117334852</v>
      </c>
      <c r="K24" s="21">
        <f>'Comp Analysis'!$D$3/E24-1</f>
        <v>0.4022140221</v>
      </c>
      <c r="L24" s="21">
        <f t="shared" ref="L24:L26" si="32">H24/F24-1</f>
        <v>0.9249446355</v>
      </c>
      <c r="M24" s="21">
        <f t="shared" ref="M24:M26" si="33">L24-K24</f>
        <v>0.5227306134</v>
      </c>
      <c r="N24" s="21"/>
      <c r="O24" s="21"/>
      <c r="P24" s="3"/>
      <c r="Q24" s="1">
        <v>17.0</v>
      </c>
      <c r="R24" s="22">
        <f t="shared" ref="R24:R26" si="34">Q24*F24</f>
        <v>6396.776184</v>
      </c>
      <c r="S24" s="22">
        <f t="shared" ref="S24:S26" si="35">Q24*G24</f>
        <v>9526.8442</v>
      </c>
      <c r="T24" s="22">
        <f t="shared" ref="T24:T26" si="36">Q24*H24</f>
        <v>12313.44</v>
      </c>
      <c r="U24" s="22">
        <f t="shared" ref="U24:U26" si="37">Q24*E24/(E24/F24)</f>
        <v>6396.776184</v>
      </c>
      <c r="V24" s="22">
        <f>Q24*'Comp Analysis'!$D$3/(E24/F24)</f>
        <v>8969.649262</v>
      </c>
      <c r="W24" s="24">
        <f>ROUND(('Comp Analysis'!$B$3-C24)/365,2)</f>
        <v>3.41</v>
      </c>
      <c r="X24" s="22"/>
      <c r="Y24" s="22"/>
      <c r="Z24" s="22"/>
      <c r="AA24" s="22"/>
      <c r="AB24" s="22"/>
    </row>
    <row r="25" ht="15.75" customHeight="1">
      <c r="A25" s="16"/>
      <c r="B25" s="16" t="s">
        <v>70</v>
      </c>
      <c r="C25" s="17">
        <v>43598.0</v>
      </c>
      <c r="D25" s="89">
        <v>44725.0</v>
      </c>
      <c r="E25" s="19">
        <v>280.86</v>
      </c>
      <c r="F25" s="19">
        <v>304.376667</v>
      </c>
      <c r="G25" s="29">
        <v>560.4026</v>
      </c>
      <c r="H25" s="24">
        <f t="shared" ref="H25:H26" si="39">H24</f>
        <v>724.32</v>
      </c>
      <c r="I25" s="26">
        <f>RRI($W25,$E25,'Comp Analysis'!$D$3)</f>
        <v>0.1175102013</v>
      </c>
      <c r="J25" s="21">
        <f t="shared" si="31"/>
        <v>0.297384798</v>
      </c>
      <c r="K25" s="26">
        <f>'Comp Analysis'!$D$3/E25-1</f>
        <v>0.4476963612</v>
      </c>
      <c r="L25" s="21">
        <f t="shared" si="32"/>
        <v>1.379683066</v>
      </c>
      <c r="M25" s="21">
        <f t="shared" si="33"/>
        <v>0.9319867043</v>
      </c>
      <c r="N25" s="21">
        <f>(Z25/X25)-1</f>
        <v>1.024278623</v>
      </c>
      <c r="O25" s="21">
        <f>(AB25/AA25)-1</f>
        <v>0.4078028638</v>
      </c>
      <c r="P25" s="21"/>
      <c r="Q25" s="3">
        <v>3.0</v>
      </c>
      <c r="R25" s="22">
        <f t="shared" si="34"/>
        <v>913.130001</v>
      </c>
      <c r="S25" s="22">
        <f t="shared" si="35"/>
        <v>1681.2078</v>
      </c>
      <c r="T25" s="22">
        <f t="shared" si="36"/>
        <v>2172.96</v>
      </c>
      <c r="U25" s="22">
        <f t="shared" si="37"/>
        <v>913.130001</v>
      </c>
      <c r="V25" s="22">
        <f>Q25*'Comp Analysis'!$D$3/(E25/F25)</f>
        <v>1321.93498</v>
      </c>
      <c r="W25" s="24">
        <f>ROUND(('Comp Analysis'!$B$3-C25)/365,2)</f>
        <v>3.33</v>
      </c>
      <c r="X25" s="22">
        <f t="shared" ref="X25:AB25" si="38">SUM(R24:R26)</f>
        <v>8229.776184</v>
      </c>
      <c r="Y25" s="22">
        <f t="shared" si="38"/>
        <v>12889.2598</v>
      </c>
      <c r="Z25" s="22">
        <f t="shared" si="38"/>
        <v>16659.36</v>
      </c>
      <c r="AA25" s="22">
        <f t="shared" si="38"/>
        <v>8229.776184</v>
      </c>
      <c r="AB25" s="22">
        <f t="shared" si="38"/>
        <v>11585.90248</v>
      </c>
    </row>
    <row r="26" ht="16.5" customHeight="1">
      <c r="A26" s="16"/>
      <c r="B26" s="16" t="s">
        <v>70</v>
      </c>
      <c r="C26" s="17">
        <v>43626.0</v>
      </c>
      <c r="D26" s="89">
        <v>44725.0</v>
      </c>
      <c r="E26" s="19">
        <v>288.97</v>
      </c>
      <c r="F26" s="19">
        <v>306.623333</v>
      </c>
      <c r="G26" s="29">
        <v>560.4026</v>
      </c>
      <c r="H26" s="24">
        <f t="shared" si="39"/>
        <v>724.32</v>
      </c>
      <c r="I26" s="26">
        <f>RRI($W26,$E26,'Comp Analysis'!$D$3)</f>
        <v>0.1107984538</v>
      </c>
      <c r="J26" s="21">
        <f t="shared" si="31"/>
        <v>0.3027747002</v>
      </c>
      <c r="K26" s="26">
        <f>'Comp Analysis'!$D$3/E26-1</f>
        <v>0.4070664775</v>
      </c>
      <c r="L26" s="21">
        <f t="shared" si="32"/>
        <v>1.362246842</v>
      </c>
      <c r="M26" s="21">
        <f t="shared" si="33"/>
        <v>0.9551803643</v>
      </c>
      <c r="N26" s="21"/>
      <c r="O26" s="21"/>
      <c r="P26" s="3"/>
      <c r="Q26" s="3">
        <v>3.0</v>
      </c>
      <c r="R26" s="22">
        <f t="shared" si="34"/>
        <v>919.869999</v>
      </c>
      <c r="S26" s="22">
        <f t="shared" si="35"/>
        <v>1681.2078</v>
      </c>
      <c r="T26" s="22">
        <f t="shared" si="36"/>
        <v>2172.96</v>
      </c>
      <c r="U26" s="22">
        <f t="shared" si="37"/>
        <v>919.869999</v>
      </c>
      <c r="V26" s="22">
        <f>Q26*'Comp Analysis'!$D$3/(E26/F26)</f>
        <v>1294.318239</v>
      </c>
      <c r="W26" s="24">
        <f>ROUND(('Comp Analysis'!$B$3-C26)/365,2)</f>
        <v>3.25</v>
      </c>
      <c r="X26" s="22"/>
      <c r="Y26" s="22"/>
      <c r="Z26" s="22"/>
      <c r="AA26" s="22"/>
      <c r="AB26" s="22"/>
    </row>
    <row r="27" ht="7.5" customHeight="1">
      <c r="A27" s="16"/>
      <c r="B27" s="17"/>
      <c r="C27" s="19"/>
      <c r="D27" s="19"/>
      <c r="E27" s="24"/>
      <c r="F27" s="26"/>
      <c r="G27" s="21"/>
      <c r="H27" s="26"/>
      <c r="I27" s="21"/>
      <c r="J27" s="21"/>
      <c r="K27" s="21"/>
      <c r="L27" s="21"/>
      <c r="M27" s="3"/>
      <c r="N27" s="3"/>
      <c r="O27" s="22"/>
      <c r="P27" s="22"/>
      <c r="Q27" s="22"/>
      <c r="R27" s="22"/>
      <c r="S27" s="24"/>
      <c r="T27" s="24"/>
      <c r="U27" s="22"/>
      <c r="V27" s="22"/>
      <c r="W27" s="22"/>
      <c r="X27" s="22"/>
    </row>
    <row r="28" ht="15.75" customHeight="1">
      <c r="A28" s="16"/>
      <c r="B28" s="16" t="s">
        <v>107</v>
      </c>
      <c r="C28" s="17">
        <v>43052.0</v>
      </c>
      <c r="D28" s="90">
        <v>44788.0</v>
      </c>
      <c r="E28" s="24">
        <v>258.33</v>
      </c>
      <c r="F28" s="19">
        <v>201.0375</v>
      </c>
      <c r="G28" s="29">
        <v>401.65</v>
      </c>
      <c r="H28" s="24">
        <f>IFERROR(__xludf.DUMMYFUNCTION("GOOGLEFINANCE(B28, ""price"")"),442.9)</f>
        <v>442.9</v>
      </c>
      <c r="I28" s="21">
        <f>RRI($V28,$E28,'Comp Analysis'!$D$3)</f>
        <v>0.09846241825</v>
      </c>
      <c r="J28" s="21">
        <f t="shared" ref="J28:J32" si="40">RRI($V28,$F28,$H28)</f>
        <v>0.1776613314</v>
      </c>
      <c r="K28" s="21">
        <f>'Comp Analysis'!$D$3/E28-1</f>
        <v>0.573955793</v>
      </c>
      <c r="L28" s="21">
        <f t="shared" ref="L28:L32" si="41">H28/F28-1</f>
        <v>1.203071566</v>
      </c>
      <c r="M28" s="21">
        <f t="shared" ref="M28:M32" si="42">L28-K28</f>
        <v>0.6291157733</v>
      </c>
      <c r="N28" s="21"/>
      <c r="O28" s="21"/>
      <c r="P28" s="3"/>
      <c r="Q28" s="3">
        <v>4.0</v>
      </c>
      <c r="R28" s="22">
        <f t="shared" ref="R28:R32" si="43">Q28*F28</f>
        <v>804.15</v>
      </c>
      <c r="S28" s="22">
        <f t="shared" ref="S28:S32" si="44">Q28*H28</f>
        <v>1771.6</v>
      </c>
      <c r="T28" s="22">
        <f t="shared" ref="T28:T32" si="45">Q28*E28/(E28/F28)</f>
        <v>804.15</v>
      </c>
      <c r="U28" s="22">
        <f>Q28*'Comp Analysis'!$D$3/(E28/F28)</f>
        <v>1265.696551</v>
      </c>
      <c r="V28" s="24">
        <f>ROUND(('Comp Analysis'!$B$3-C28)/365,2)</f>
        <v>4.83</v>
      </c>
      <c r="W28" s="22"/>
      <c r="X28" s="22"/>
      <c r="Y28" s="22"/>
      <c r="Z28" s="22"/>
    </row>
    <row r="29" ht="15.75" customHeight="1">
      <c r="A29" s="16"/>
      <c r="B29" s="16" t="s">
        <v>107</v>
      </c>
      <c r="C29" s="17">
        <v>43080.0</v>
      </c>
      <c r="D29" s="90">
        <v>44788.0</v>
      </c>
      <c r="E29" s="24">
        <v>266.31</v>
      </c>
      <c r="F29" s="19">
        <v>219.896</v>
      </c>
      <c r="G29" s="29">
        <v>401.65</v>
      </c>
      <c r="H29" s="24">
        <f t="shared" ref="H29:H32" si="46">H28</f>
        <v>442.9</v>
      </c>
      <c r="I29" s="21">
        <f>RRI($V29,$E29,'Comp Analysis'!$D$3)</f>
        <v>0.09317704899</v>
      </c>
      <c r="J29" s="21">
        <f t="shared" si="40"/>
        <v>0.1588269859</v>
      </c>
      <c r="K29" s="21">
        <f>'Comp Analysis'!$D$3/E29-1</f>
        <v>0.5267920844</v>
      </c>
      <c r="L29" s="21">
        <f t="shared" si="41"/>
        <v>1.014133954</v>
      </c>
      <c r="M29" s="21">
        <f t="shared" si="42"/>
        <v>0.4873418698</v>
      </c>
      <c r="N29" s="21"/>
      <c r="O29" s="21"/>
      <c r="P29" s="3"/>
      <c r="Q29" s="3">
        <v>5.0</v>
      </c>
      <c r="R29" s="22">
        <f t="shared" si="43"/>
        <v>1099.48</v>
      </c>
      <c r="S29" s="22">
        <f t="shared" si="44"/>
        <v>2214.5</v>
      </c>
      <c r="T29" s="22">
        <f t="shared" si="45"/>
        <v>1099.48</v>
      </c>
      <c r="U29" s="22">
        <f>Q29*'Comp Analysis'!$D$3/(E29/F29)</f>
        <v>1678.677361</v>
      </c>
      <c r="V29" s="24">
        <f>ROUND(('Comp Analysis'!$B$3-C29)/365,2)</f>
        <v>4.75</v>
      </c>
      <c r="W29" s="22"/>
      <c r="X29" s="22"/>
      <c r="Y29" s="22"/>
      <c r="Z29" s="22"/>
    </row>
    <row r="30" ht="15.75" customHeight="1">
      <c r="A30" s="16"/>
      <c r="B30" s="16" t="s">
        <v>107</v>
      </c>
      <c r="C30" s="17">
        <v>43117.0</v>
      </c>
      <c r="D30" s="90">
        <v>44788.0</v>
      </c>
      <c r="E30" s="24">
        <v>279.61</v>
      </c>
      <c r="F30" s="19">
        <v>239.581818</v>
      </c>
      <c r="G30" s="29">
        <v>401.65</v>
      </c>
      <c r="H30" s="24">
        <f t="shared" si="46"/>
        <v>442.9</v>
      </c>
      <c r="I30" s="21">
        <f>RRI($V30,$E30,'Comp Analysis'!$D$3)</f>
        <v>0.08385428221</v>
      </c>
      <c r="J30" s="21">
        <f t="shared" si="40"/>
        <v>0.1412676027</v>
      </c>
      <c r="K30" s="21">
        <f>'Comp Analysis'!$D$3/E30-1</f>
        <v>0.4541683059</v>
      </c>
      <c r="L30" s="21">
        <f t="shared" si="41"/>
        <v>0.8486377793</v>
      </c>
      <c r="M30" s="21">
        <f t="shared" si="42"/>
        <v>0.3944694735</v>
      </c>
      <c r="N30" s="21">
        <f>(X30/W30)-1</f>
        <v>0.9642170795</v>
      </c>
      <c r="O30" s="21">
        <f>(Z30/Y30)-1</f>
        <v>0.4556681836</v>
      </c>
      <c r="P30" s="21"/>
      <c r="Q30" s="3">
        <v>11.0</v>
      </c>
      <c r="R30" s="22">
        <f t="shared" si="43"/>
        <v>2635.399998</v>
      </c>
      <c r="S30" s="22">
        <f t="shared" si="44"/>
        <v>4871.9</v>
      </c>
      <c r="T30" s="22">
        <f t="shared" si="45"/>
        <v>2635.399998</v>
      </c>
      <c r="U30" s="22">
        <f>Q30*'Comp Analysis'!$D$3/(E30/F30)</f>
        <v>3832.31515</v>
      </c>
      <c r="V30" s="24">
        <f>ROUND(('Comp Analysis'!$B$3-C30)/365,2)</f>
        <v>4.65</v>
      </c>
      <c r="W30" s="22">
        <f t="shared" ref="W30:Z30" si="47">SUM(R28:R32)</f>
        <v>7440.979998</v>
      </c>
      <c r="X30" s="22">
        <f t="shared" si="47"/>
        <v>14615.7</v>
      </c>
      <c r="Y30" s="22">
        <f t="shared" si="47"/>
        <v>7440.979998</v>
      </c>
      <c r="Z30" s="22">
        <f t="shared" si="47"/>
        <v>10831.59784</v>
      </c>
    </row>
    <row r="31" ht="15.75" customHeight="1">
      <c r="A31" s="16"/>
      <c r="B31" s="16" t="s">
        <v>107</v>
      </c>
      <c r="C31" s="17">
        <v>43171.0</v>
      </c>
      <c r="D31" s="90">
        <v>44788.0</v>
      </c>
      <c r="E31" s="24">
        <v>278.52</v>
      </c>
      <c r="F31" s="19">
        <v>207.695</v>
      </c>
      <c r="G31" s="29">
        <v>401.65</v>
      </c>
      <c r="H31" s="24">
        <f t="shared" si="46"/>
        <v>442.9</v>
      </c>
      <c r="I31" s="21">
        <f>RRI($V31,$E31,'Comp Analysis'!$D$3)</f>
        <v>0.08771108084</v>
      </c>
      <c r="J31" s="21">
        <f t="shared" si="40"/>
        <v>0.1832713906</v>
      </c>
      <c r="K31" s="21">
        <f>'Comp Analysis'!$D$3/E31-1</f>
        <v>0.4598592561</v>
      </c>
      <c r="L31" s="21">
        <f t="shared" si="41"/>
        <v>1.132453839</v>
      </c>
      <c r="M31" s="21">
        <f t="shared" si="42"/>
        <v>0.6725945825</v>
      </c>
      <c r="N31" s="21"/>
      <c r="O31" s="21"/>
      <c r="P31" s="3"/>
      <c r="Q31" s="3">
        <v>10.0</v>
      </c>
      <c r="R31" s="22">
        <f t="shared" si="43"/>
        <v>2076.95</v>
      </c>
      <c r="S31" s="22">
        <f t="shared" si="44"/>
        <v>4429</v>
      </c>
      <c r="T31" s="22">
        <f t="shared" si="45"/>
        <v>2076.95</v>
      </c>
      <c r="U31" s="22">
        <f>Q31*'Comp Analysis'!$D$3/(E31/F31)</f>
        <v>3032.054682</v>
      </c>
      <c r="V31" s="24">
        <f>ROUND(('Comp Analysis'!$B$3-C31)/365,2)</f>
        <v>4.5</v>
      </c>
      <c r="W31" s="22"/>
      <c r="X31" s="22"/>
      <c r="Y31" s="22"/>
      <c r="Z31" s="22"/>
    </row>
    <row r="32" ht="15.75" customHeight="1">
      <c r="A32" s="16"/>
      <c r="B32" s="16" t="s">
        <v>107</v>
      </c>
      <c r="C32" s="17">
        <v>43843.0</v>
      </c>
      <c r="D32" s="90">
        <v>44788.0</v>
      </c>
      <c r="E32" s="24">
        <v>327.95</v>
      </c>
      <c r="F32" s="19">
        <v>275.0</v>
      </c>
      <c r="G32" s="29">
        <v>401.65</v>
      </c>
      <c r="H32" s="24">
        <f t="shared" si="46"/>
        <v>442.9</v>
      </c>
      <c r="I32" s="21">
        <f>RRI($V32,$E32,'Comp Analysis'!$D$3)</f>
        <v>0.08417065028</v>
      </c>
      <c r="J32" s="21">
        <f t="shared" si="40"/>
        <v>0.1962154116</v>
      </c>
      <c r="K32" s="21">
        <f>'Comp Analysis'!$D$3/E32-1</f>
        <v>0.2398231438</v>
      </c>
      <c r="L32" s="21">
        <f t="shared" si="41"/>
        <v>0.6105454545</v>
      </c>
      <c r="M32" s="21">
        <f t="shared" si="42"/>
        <v>0.3707223108</v>
      </c>
      <c r="N32" s="21"/>
      <c r="O32" s="21"/>
      <c r="P32" s="3"/>
      <c r="Q32" s="3">
        <v>3.0</v>
      </c>
      <c r="R32" s="22">
        <f t="shared" si="43"/>
        <v>825</v>
      </c>
      <c r="S32" s="22">
        <f t="shared" si="44"/>
        <v>1328.7</v>
      </c>
      <c r="T32" s="22">
        <f t="shared" si="45"/>
        <v>825</v>
      </c>
      <c r="U32" s="22">
        <f>Q32*'Comp Analysis'!$D$3/(E32/F32)</f>
        <v>1022.854094</v>
      </c>
      <c r="V32" s="24">
        <f>ROUND(('Comp Analysis'!$B$3-C32)/365,2)</f>
        <v>2.66</v>
      </c>
      <c r="W32" s="22"/>
      <c r="X32" s="22"/>
      <c r="Y32" s="22"/>
      <c r="Z32" s="2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>
      <c r="A38" s="91"/>
      <c r="B38" s="91"/>
      <c r="C38" s="91"/>
      <c r="D38" s="91"/>
      <c r="E38" s="92" t="s">
        <v>118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ht="15.75" customHeight="1">
      <c r="A39" s="91"/>
      <c r="B39" s="92" t="s">
        <v>119</v>
      </c>
      <c r="C39" s="92" t="s">
        <v>120</v>
      </c>
      <c r="D39" s="92" t="s">
        <v>121</v>
      </c>
      <c r="E39" s="92" t="s">
        <v>121</v>
      </c>
      <c r="F39" s="92" t="s">
        <v>122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ht="15.75" customHeight="1">
      <c r="B40" s="91" t="str">
        <f>B4</f>
        <v>CCRD</v>
      </c>
      <c r="C40" s="93" t="str">
        <f>D4</f>
        <v/>
      </c>
      <c r="D40" s="94">
        <f>Y5-X5</f>
        <v>-24.264</v>
      </c>
      <c r="E40" s="94">
        <f>Z5-X5</f>
        <v>-3077.1</v>
      </c>
      <c r="F40" s="95">
        <f t="shared" ref="F40:F41" si="48">D40-E40</f>
        <v>3052.836</v>
      </c>
    </row>
    <row r="41" ht="15.75" customHeight="1">
      <c r="B41" s="91" t="str">
        <f>B9</f>
        <v>SFM</v>
      </c>
      <c r="C41" s="93" t="str">
        <f>D9</f>
        <v/>
      </c>
      <c r="D41" s="94">
        <f>Y9-X9</f>
        <v>1149.72</v>
      </c>
      <c r="E41" s="94">
        <f>Z9-X9</f>
        <v>3479.19</v>
      </c>
      <c r="F41" s="94">
        <f t="shared" si="48"/>
        <v>-2329.47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">
    <mergeCell ref="H1:K1"/>
  </mergeCells>
  <conditionalFormatting sqref="N28">
    <cfRule type="expression" dxfId="0" priority="1">
      <formula>N28&lt;0</formula>
    </cfRule>
  </conditionalFormatting>
  <conditionalFormatting sqref="M28">
    <cfRule type="expression" dxfId="0" priority="2">
      <formula>M28&lt;0</formula>
    </cfRule>
  </conditionalFormatting>
  <conditionalFormatting sqref="N28:N31">
    <cfRule type="expression" dxfId="0" priority="3">
      <formula>N28&lt;0</formula>
    </cfRule>
  </conditionalFormatting>
  <conditionalFormatting sqref="N29 N31">
    <cfRule type="expression" dxfId="0" priority="4">
      <formula>N29&lt;0</formula>
    </cfRule>
  </conditionalFormatting>
  <conditionalFormatting sqref="N30">
    <cfRule type="expression" dxfId="0" priority="5">
      <formula>N30&lt;0</formula>
    </cfRule>
  </conditionalFormatting>
  <conditionalFormatting sqref="N32">
    <cfRule type="expression" dxfId="0" priority="6">
      <formula>N32&lt;0</formula>
    </cfRule>
  </conditionalFormatting>
  <conditionalFormatting sqref="N32">
    <cfRule type="expression" dxfId="0" priority="7">
      <formula>N32&lt;0</formula>
    </cfRule>
  </conditionalFormatting>
  <conditionalFormatting sqref="M29:M31">
    <cfRule type="expression" dxfId="0" priority="8">
      <formula>M29&lt;0</formula>
    </cfRule>
  </conditionalFormatting>
  <conditionalFormatting sqref="M32">
    <cfRule type="expression" dxfId="0" priority="9">
      <formula>M32&lt;0</formula>
    </cfRule>
  </conditionalFormatting>
  <conditionalFormatting sqref="M32">
    <cfRule type="expression" dxfId="0" priority="10">
      <formula>M32&lt;0</formula>
    </cfRule>
  </conditionalFormatting>
  <conditionalFormatting sqref="K28:O32">
    <cfRule type="expression" dxfId="0" priority="11">
      <formula>K28&lt;0</formula>
    </cfRule>
  </conditionalFormatting>
  <conditionalFormatting sqref="K24:L27 M24:O26">
    <cfRule type="expression" dxfId="0" priority="12">
      <formula>K24&lt;0</formula>
    </cfRule>
  </conditionalFormatting>
  <conditionalFormatting sqref="M24:M26 J27">
    <cfRule type="expression" dxfId="0" priority="13">
      <formula>M24&lt;0</formula>
    </cfRule>
  </conditionalFormatting>
  <conditionalFormatting sqref="N24 N26 K27">
    <cfRule type="expression" dxfId="0" priority="14">
      <formula>N24&lt;0</formula>
    </cfRule>
  </conditionalFormatting>
  <conditionalFormatting sqref="N25">
    <cfRule type="expression" dxfId="0" priority="15">
      <formula>N25&lt;0</formula>
    </cfRule>
  </conditionalFormatting>
  <conditionalFormatting sqref="J22 K22:M23 N22:O22 D40:E41 F41">
    <cfRule type="expression" dxfId="0" priority="16">
      <formula>J22&lt;0</formula>
    </cfRule>
  </conditionalFormatting>
  <conditionalFormatting sqref="L23">
    <cfRule type="expression" dxfId="0" priority="17">
      <formula>L23&lt;0</formula>
    </cfRule>
  </conditionalFormatting>
  <conditionalFormatting sqref="N22">
    <cfRule type="expression" dxfId="0" priority="18">
      <formula>N22&lt;0</formula>
    </cfRule>
  </conditionalFormatting>
  <conditionalFormatting sqref="K23">
    <cfRule type="expression" dxfId="0" priority="19">
      <formula>K23&lt;0</formula>
    </cfRule>
  </conditionalFormatting>
  <conditionalFormatting sqref="M18:M20 K21">
    <cfRule type="expression" dxfId="0" priority="20">
      <formula>M18&lt;0</formula>
    </cfRule>
  </conditionalFormatting>
  <conditionalFormatting sqref="M16">
    <cfRule type="expression" dxfId="0" priority="21">
      <formula>M16&lt;0</formula>
    </cfRule>
  </conditionalFormatting>
  <conditionalFormatting sqref="M17">
    <cfRule type="expression" dxfId="0" priority="22">
      <formula>M17&lt;0</formula>
    </cfRule>
  </conditionalFormatting>
  <conditionalFormatting sqref="N17">
    <cfRule type="expression" dxfId="0" priority="23">
      <formula>N17&lt;0</formula>
    </cfRule>
  </conditionalFormatting>
  <conditionalFormatting sqref="N4">
    <cfRule type="expression" dxfId="0" priority="24">
      <formula>N4&lt;0</formula>
    </cfRule>
  </conditionalFormatting>
  <conditionalFormatting sqref="N5">
    <cfRule type="expression" dxfId="0" priority="25">
      <formula>N5&lt;0</formula>
    </cfRule>
  </conditionalFormatting>
  <conditionalFormatting sqref="M9">
    <cfRule type="expression" dxfId="0" priority="26">
      <formula>M9&lt;0</formula>
    </cfRule>
  </conditionalFormatting>
  <conditionalFormatting sqref="N9">
    <cfRule type="expression" dxfId="0" priority="27">
      <formula>N9&lt;0</formula>
    </cfRule>
  </conditionalFormatting>
  <conditionalFormatting sqref="N11">
    <cfRule type="expression" dxfId="0" priority="28">
      <formula>N11&lt;0</formula>
    </cfRule>
  </conditionalFormatting>
  <conditionalFormatting sqref="M12:M14">
    <cfRule type="expression" dxfId="0" priority="29">
      <formula>M12&lt;0</formula>
    </cfRule>
  </conditionalFormatting>
  <conditionalFormatting sqref="N10:N14">
    <cfRule type="expression" dxfId="0" priority="30">
      <formula>N10&lt;0</formula>
    </cfRule>
  </conditionalFormatting>
  <conditionalFormatting sqref="M11">
    <cfRule type="expression" dxfId="0" priority="31">
      <formula>M11&lt;0</formula>
    </cfRule>
  </conditionalFormatting>
  <conditionalFormatting sqref="N13">
    <cfRule type="expression" dxfId="0" priority="32">
      <formula>N13&lt;0</formula>
    </cfRule>
  </conditionalFormatting>
  <conditionalFormatting sqref="N12 N14">
    <cfRule type="expression" dxfId="0" priority="33">
      <formula>N12&lt;0</formula>
    </cfRule>
  </conditionalFormatting>
  <conditionalFormatting sqref="M10:M14">
    <cfRule type="expression" dxfId="0" priority="34">
      <formula>M10&lt;0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7.22"/>
    <col customWidth="1" min="2" max="2" width="20.0"/>
    <col customWidth="1" min="3" max="3" width="14.22"/>
    <col customWidth="1" min="4" max="4" width="13.33"/>
    <col customWidth="1" min="6" max="6" width="9.22"/>
    <col customWidth="1" min="7" max="7" width="12.67"/>
  </cols>
  <sheetData>
    <row r="1">
      <c r="A1" s="36" t="str">
        <f>'Comp Analysis'!A71</f>
        <v>Date:</v>
      </c>
      <c r="B1" s="37">
        <f>'Comp Analysis'!B71</f>
        <v>44814</v>
      </c>
      <c r="C1" s="38" t="str">
        <f>'Comp Analysis'!C71</f>
        <v>SPY Price</v>
      </c>
      <c r="D1" s="39">
        <f>'Comp Analysis'!D71</f>
        <v>406.6</v>
      </c>
      <c r="E1" s="40" t="str">
        <f>'Comp Analysis'!E71</f>
        <v/>
      </c>
      <c r="F1" s="40" t="str">
        <f>'Comp Analysis'!F71</f>
        <v/>
      </c>
      <c r="G1" s="40" t="str">
        <f>'Comp Analysis'!G71</f>
        <v/>
      </c>
      <c r="H1" s="40" t="str">
        <f>'Comp Analysis'!H71</f>
        <v/>
      </c>
      <c r="I1" s="41" t="str">
        <f>'Comp Analysis'!I71</f>
        <v/>
      </c>
      <c r="J1" s="35" t="str">
        <f>'Comp Analysis'!J71</f>
        <v/>
      </c>
      <c r="K1" s="35" t="str">
        <f>'Comp Analysis'!K71</f>
        <v/>
      </c>
      <c r="L1" s="35" t="str">
        <f>'Comp Analysis'!L71</f>
        <v/>
      </c>
    </row>
    <row r="2">
      <c r="A2" s="42" t="str">
        <f>'Comp Analysis'!A72</f>
        <v>Stock Ticker</v>
      </c>
      <c r="B2" s="43" t="str">
        <f>'Comp Analysis'!B72</f>
        <v># of Shares</v>
      </c>
      <c r="C2" s="42" t="str">
        <f>'Comp Analysis'!C72</f>
        <v>Stocks Weighted Avg Rtn</v>
      </c>
      <c r="D2" s="42" t="str">
        <f>'Comp Analysis'!D72</f>
        <v>SPY Weighted Avg Rtn</v>
      </c>
      <c r="E2" s="42" t="s">
        <v>123</v>
      </c>
      <c r="F2" s="42" t="str">
        <f>'Comp Analysis'!F72</f>
        <v>Div. Yield</v>
      </c>
      <c r="G2" s="42" t="s">
        <v>124</v>
      </c>
      <c r="H2" s="42" t="str">
        <f>'Comp Analysis'!H72</f>
        <v>% Portfolio</v>
      </c>
      <c r="I2" s="44" t="str">
        <f>'Comp Analysis'!I72</f>
        <v/>
      </c>
      <c r="J2" s="45" t="str">
        <f>'Comp Analysis'!J72</f>
        <v>% Holdings</v>
      </c>
      <c r="K2" s="46" t="str">
        <f>'Comp Analysis'!K72</f>
        <v/>
      </c>
      <c r="L2" s="96" t="str">
        <f>'Comp Analysis'!L72</f>
        <v>Annual Dividend (per sh)</v>
      </c>
      <c r="M2" s="97" t="s">
        <v>125</v>
      </c>
    </row>
    <row r="3">
      <c r="A3" s="48" t="str">
        <f>'Comp Analysis'!A73</f>
        <v>CBOE</v>
      </c>
      <c r="B3" s="56">
        <f>'Comp Analysis'!B73</f>
        <v>94</v>
      </c>
      <c r="C3" s="50">
        <f>'Comp Analysis'!C73</f>
        <v>0.1960443801</v>
      </c>
      <c r="D3" s="50">
        <f>'Comp Analysis'!D73</f>
        <v>0.02570570874</v>
      </c>
      <c r="E3" s="50">
        <f>'Comp Analysis'!E73</f>
        <v>0.1703386714</v>
      </c>
      <c r="F3" s="50">
        <f>'Comp Analysis'!F73</f>
        <v>0.01613293539</v>
      </c>
      <c r="G3" s="50">
        <f>'Comp Analysis'!G73</f>
        <v>0.1864716068</v>
      </c>
      <c r="H3" s="50">
        <f>'Comp Analysis'!H73</f>
        <v>0.05191880627</v>
      </c>
      <c r="I3" s="41" t="str">
        <f>'Comp Analysis'!I73</f>
        <v/>
      </c>
      <c r="J3" s="51">
        <f>'Comp Analysis'!J73</f>
        <v>0.05158520673</v>
      </c>
      <c r="K3" s="52">
        <f>'Comp Analysis'!K73</f>
        <v>0.000837602747</v>
      </c>
      <c r="L3" s="98">
        <f>'Comp Analysis'!L73</f>
        <v>2</v>
      </c>
      <c r="M3" s="99">
        <f t="shared" ref="M3:M19" si="1">B3*L3</f>
        <v>188</v>
      </c>
    </row>
    <row r="4">
      <c r="A4" s="48" t="str">
        <f>'Comp Analysis'!A74</f>
        <v>DG</v>
      </c>
      <c r="B4" s="56">
        <f>'Comp Analysis'!B74</f>
        <v>90</v>
      </c>
      <c r="C4" s="50">
        <f>'Comp Analysis'!C74</f>
        <v>2.020848384</v>
      </c>
      <c r="D4" s="50">
        <f>'Comp Analysis'!D74</f>
        <v>0.5950648171</v>
      </c>
      <c r="E4" s="50">
        <f>'Comp Analysis'!E74</f>
        <v>1.425783567</v>
      </c>
      <c r="F4" s="50">
        <f>'Comp Analysis'!F74</f>
        <v>0.008897516784</v>
      </c>
      <c r="G4" s="50">
        <f>'Comp Analysis'!G74</f>
        <v>1.434681084</v>
      </c>
      <c r="H4" s="50">
        <f>'Comp Analysis'!H74</f>
        <v>0.09914632431</v>
      </c>
      <c r="I4" s="41" t="str">
        <f>'Comp Analysis'!I74</f>
        <v/>
      </c>
      <c r="J4" s="51">
        <f>'Comp Analysis'!J74</f>
        <v>0.09850926866</v>
      </c>
      <c r="K4" s="52">
        <f>'Comp Analysis'!K74</f>
        <v>0.0008821560846</v>
      </c>
      <c r="L4" s="98">
        <f>'Comp Analysis'!L74</f>
        <v>2.2</v>
      </c>
      <c r="M4" s="99">
        <f t="shared" si="1"/>
        <v>198</v>
      </c>
    </row>
    <row r="5">
      <c r="A5" s="48" t="str">
        <f>'Comp Analysis'!A75</f>
        <v>DHI</v>
      </c>
      <c r="B5" s="56">
        <f>'Comp Analysis'!B75</f>
        <v>199.278</v>
      </c>
      <c r="C5" s="50">
        <f>'Comp Analysis'!C75</f>
        <v>0.07386238334</v>
      </c>
      <c r="D5" s="50">
        <f>'Comp Analysis'!D75</f>
        <v>0.05675715889</v>
      </c>
      <c r="E5" s="50">
        <f>'Comp Analysis'!E75</f>
        <v>0.01710522446</v>
      </c>
      <c r="F5" s="50">
        <f>'Comp Analysis'!F75</f>
        <v>0.01227328515</v>
      </c>
      <c r="G5" s="50">
        <f>'Comp Analysis'!G75</f>
        <v>0.02937850961</v>
      </c>
      <c r="H5" s="50">
        <f>'Comp Analysis'!H75</f>
        <v>0.06510604058</v>
      </c>
      <c r="I5" s="41" t="str">
        <f>'Comp Analysis'!I75</f>
        <v/>
      </c>
      <c r="J5" s="51">
        <f>'Comp Analysis'!J75</f>
        <v>0.06468770767</v>
      </c>
      <c r="K5" s="52">
        <f>'Comp Analysis'!K75</f>
        <v>0.000799065001</v>
      </c>
      <c r="L5" s="98">
        <f>'Comp Analysis'!L75</f>
        <v>0.9</v>
      </c>
      <c r="M5" s="99">
        <f t="shared" si="1"/>
        <v>179.3502</v>
      </c>
    </row>
    <row r="6">
      <c r="A6" s="48" t="str">
        <f>'Comp Analysis'!A76</f>
        <v>FSFG</v>
      </c>
      <c r="B6" s="56">
        <f>'Comp Analysis'!B76</f>
        <v>516</v>
      </c>
      <c r="C6" s="50">
        <f>'Comp Analysis'!C76</f>
        <v>0.01215780099</v>
      </c>
      <c r="D6" s="50">
        <f>'Comp Analysis'!D76</f>
        <v>0.004420739667</v>
      </c>
      <c r="E6" s="50">
        <f>'Comp Analysis'!E76</f>
        <v>0.007737061323</v>
      </c>
      <c r="F6" s="50">
        <f>'Comp Analysis'!F76</f>
        <v>0.02259887006</v>
      </c>
      <c r="G6" s="50">
        <f>'Comp Analysis'!G76</f>
        <v>0.03033593138</v>
      </c>
      <c r="H6" s="50">
        <f>'Comp Analysis'!H76</f>
        <v>0.05289889059</v>
      </c>
      <c r="I6" s="41" t="str">
        <f>'Comp Analysis'!I76</f>
        <v/>
      </c>
      <c r="J6" s="51">
        <f>'Comp Analysis'!J76</f>
        <v>0.0525589936</v>
      </c>
      <c r="K6" s="52">
        <f>'Comp Analysis'!K76</f>
        <v>0.001195455155</v>
      </c>
      <c r="L6" s="98">
        <f>'Comp Analysis'!L76</f>
        <v>0.52</v>
      </c>
      <c r="M6" s="99">
        <f t="shared" si="1"/>
        <v>268.32</v>
      </c>
    </row>
    <row r="7">
      <c r="A7" s="48" t="str">
        <f>'Comp Analysis'!A77</f>
        <v>GOOG</v>
      </c>
      <c r="B7" s="56">
        <f>'Comp Analysis'!B77</f>
        <v>120</v>
      </c>
      <c r="C7" s="50">
        <f>'Comp Analysis'!C77</f>
        <v>7.248330494</v>
      </c>
      <c r="D7" s="50">
        <f>'Comp Analysis'!D77</f>
        <v>2.231226764</v>
      </c>
      <c r="E7" s="50">
        <f>'Comp Analysis'!E77</f>
        <v>5.01710373</v>
      </c>
      <c r="F7" s="50">
        <f>'Comp Analysis'!F77</f>
        <v>0</v>
      </c>
      <c r="G7" s="50">
        <f>'Comp Analysis'!G77</f>
        <v>5.01710373</v>
      </c>
      <c r="H7" s="50">
        <f>'Comp Analysis'!H77</f>
        <v>0.05976206493</v>
      </c>
      <c r="I7" s="53">
        <f>'Comp Analysis'!I77</f>
        <v>0.1189199866</v>
      </c>
      <c r="J7" s="51">
        <f>'Comp Analysis'!J77</f>
        <v>0.05937806924</v>
      </c>
      <c r="K7" s="52">
        <f>'Comp Analysis'!K77</f>
        <v>0</v>
      </c>
      <c r="L7" s="41" t="str">
        <f>'Comp Analysis'!L77</f>
        <v/>
      </c>
      <c r="M7" s="99">
        <f t="shared" si="1"/>
        <v>0</v>
      </c>
    </row>
    <row r="8">
      <c r="A8" s="48" t="str">
        <f>'Comp Analysis'!A78</f>
        <v>GOOGL</v>
      </c>
      <c r="B8" s="56">
        <f>'Comp Analysis'!B78</f>
        <v>120</v>
      </c>
      <c r="C8" s="50">
        <f>'Comp Analysis'!C78</f>
        <v>7.117923254</v>
      </c>
      <c r="D8" s="50">
        <f>'Comp Analysis'!D78</f>
        <v>2.231103455</v>
      </c>
      <c r="E8" s="50">
        <f>'Comp Analysis'!E78</f>
        <v>4.886819799</v>
      </c>
      <c r="F8" s="50">
        <f>'Comp Analysis'!F78</f>
        <v>0</v>
      </c>
      <c r="G8" s="50">
        <f>'Comp Analysis'!G78</f>
        <v>4.886819799</v>
      </c>
      <c r="H8" s="50">
        <f>'Comp Analysis'!H78</f>
        <v>0.05915792167</v>
      </c>
      <c r="J8" s="51">
        <f>'Comp Analysis'!J78</f>
        <v>0.05877780785</v>
      </c>
      <c r="K8" s="52">
        <f>'Comp Analysis'!K78</f>
        <v>0</v>
      </c>
      <c r="L8" s="41"/>
      <c r="M8" s="99">
        <f t="shared" si="1"/>
        <v>0</v>
      </c>
    </row>
    <row r="9">
      <c r="A9" s="48" t="str">
        <f>'Comp Analysis'!A79</f>
        <v>HLI</v>
      </c>
      <c r="B9" s="56">
        <f>'Comp Analysis'!B79</f>
        <v>137</v>
      </c>
      <c r="C9" s="50">
        <f>'Comp Analysis'!C79</f>
        <v>0.0306031746</v>
      </c>
      <c r="D9" s="50">
        <f>'Comp Analysis'!D79</f>
        <v>0.07748569006</v>
      </c>
      <c r="E9" s="50">
        <f>'Comp Analysis'!E79</f>
        <v>-0.04688251545</v>
      </c>
      <c r="F9" s="50">
        <f>'Comp Analysis'!F79</f>
        <v>0.02612124199</v>
      </c>
      <c r="G9" s="50">
        <f>'Comp Analysis'!G79</f>
        <v>-0.02076127346</v>
      </c>
      <c r="H9" s="50">
        <f>'Comp Analysis'!H79</f>
        <v>0.04953849966</v>
      </c>
      <c r="I9" s="41"/>
      <c r="J9" s="51">
        <f>'Comp Analysis'!J79</f>
        <v>0.04922019455</v>
      </c>
      <c r="K9" s="100">
        <v>0.0</v>
      </c>
      <c r="L9" s="99">
        <f>'Comp Analysis'!L79</f>
        <v>2.12</v>
      </c>
      <c r="M9" s="99">
        <f t="shared" si="1"/>
        <v>290.44</v>
      </c>
    </row>
    <row r="10">
      <c r="A10" s="48" t="str">
        <f>'Comp Analysis'!A80</f>
        <v>ITIC</v>
      </c>
      <c r="B10" s="56">
        <f>'Comp Analysis'!B80</f>
        <v>71</v>
      </c>
      <c r="C10" s="50">
        <f>'Comp Analysis'!C80</f>
        <v>-0.2349206349</v>
      </c>
      <c r="D10" s="50">
        <f>'Comp Analysis'!D80</f>
        <v>-0.09042101025</v>
      </c>
      <c r="E10" s="50">
        <f>'Comp Analysis'!E80</f>
        <v>-0.1444996247</v>
      </c>
      <c r="F10" s="50">
        <f>'Comp Analysis'!F80</f>
        <v>0.01272475795</v>
      </c>
      <c r="G10" s="50">
        <f>'Comp Analysis'!G80</f>
        <v>-0.1317748667</v>
      </c>
      <c r="H10" s="50">
        <f>'Comp Analysis'!H80</f>
        <v>0.04574112959</v>
      </c>
      <c r="I10" s="41" t="str">
        <f>'Comp Analysis'!I80</f>
        <v/>
      </c>
      <c r="J10" s="51">
        <f>'Comp Analysis'!J80</f>
        <v>0.04544722414</v>
      </c>
      <c r="K10" s="52">
        <f>'Comp Analysis'!K80</f>
        <v>0.0005820448025</v>
      </c>
      <c r="L10" s="98">
        <f>'Comp Analysis'!L80</f>
        <v>1.84</v>
      </c>
      <c r="M10" s="99">
        <f t="shared" si="1"/>
        <v>130.64</v>
      </c>
    </row>
    <row r="11">
      <c r="A11" s="54" t="str">
        <f>'Comp Analysis'!A81</f>
        <v>MBUU</v>
      </c>
      <c r="B11" s="56">
        <f>'Comp Analysis'!B81</f>
        <v>211</v>
      </c>
      <c r="C11" s="50">
        <f>'Comp Analysis'!C81</f>
        <v>-0.09462365591</v>
      </c>
      <c r="D11" s="50">
        <f>'Comp Analysis'!D81</f>
        <v>-0.02494004796</v>
      </c>
      <c r="E11" s="50">
        <f>'Comp Analysis'!E81</f>
        <v>-0.06968360795</v>
      </c>
      <c r="F11" s="50">
        <f>'Comp Analysis'!F81</f>
        <v>0</v>
      </c>
      <c r="G11" s="50">
        <f>'Comp Analysis'!G81</f>
        <v>-0.06968360795</v>
      </c>
      <c r="H11" s="50">
        <f>'Comp Analysis'!H81</f>
        <v>0.05145032793</v>
      </c>
      <c r="I11" s="41" t="str">
        <f>'Comp Analysis'!I81</f>
        <v/>
      </c>
      <c r="J11" s="51">
        <f>'Comp Analysis'!J81</f>
        <v>0.05111973855</v>
      </c>
      <c r="K11" s="52">
        <f>'Comp Analysis'!K81</f>
        <v>0</v>
      </c>
      <c r="L11" s="41" t="str">
        <f>'Comp Analysis'!L81</f>
        <v/>
      </c>
      <c r="M11" s="99">
        <f t="shared" si="1"/>
        <v>0</v>
      </c>
    </row>
    <row r="12">
      <c r="A12" s="48" t="str">
        <f>'Comp Analysis'!A82</f>
        <v>MIDD</v>
      </c>
      <c r="B12" s="56">
        <f>'Comp Analysis'!B82</f>
        <v>127</v>
      </c>
      <c r="C12" s="50">
        <f>'Comp Analysis'!C82</f>
        <v>0.7199443272</v>
      </c>
      <c r="D12" s="50">
        <f>'Comp Analysis'!D82</f>
        <v>0.2883535075</v>
      </c>
      <c r="E12" s="50">
        <f>'Comp Analysis'!E82</f>
        <v>0.4315908197</v>
      </c>
      <c r="F12" s="50">
        <f>'Comp Analysis'!F82</f>
        <v>0</v>
      </c>
      <c r="G12" s="50">
        <f>'Comp Analysis'!G82</f>
        <v>0.4315908197</v>
      </c>
      <c r="H12" s="50">
        <f>'Comp Analysis'!H82</f>
        <v>0.08533242832</v>
      </c>
      <c r="I12" s="41" t="str">
        <f>'Comp Analysis'!I82</f>
        <v/>
      </c>
      <c r="J12" s="51">
        <f>'Comp Analysis'!J82</f>
        <v>0.0847841326</v>
      </c>
      <c r="K12" s="52">
        <f>'Comp Analysis'!K82</f>
        <v>0</v>
      </c>
      <c r="L12" s="41" t="str">
        <f>'Comp Analysis'!L82</f>
        <v/>
      </c>
      <c r="M12" s="99">
        <f t="shared" si="1"/>
        <v>0</v>
      </c>
    </row>
    <row r="13">
      <c r="A13" s="48" t="str">
        <f>'Comp Analysis'!A83</f>
        <v>MKSI</v>
      </c>
      <c r="B13" s="56">
        <f>'Comp Analysis'!B83</f>
        <v>108</v>
      </c>
      <c r="C13" s="50">
        <f>'Comp Analysis'!C83</f>
        <v>-0.2493887734</v>
      </c>
      <c r="D13" s="50">
        <f>'Comp Analysis'!D83</f>
        <v>-0.0598754482</v>
      </c>
      <c r="E13" s="50">
        <f>'Comp Analysis'!E83</f>
        <v>-0.1895133252</v>
      </c>
      <c r="F13" s="50">
        <f>'Comp Analysis'!F83</f>
        <v>0.008774553794</v>
      </c>
      <c r="G13" s="50">
        <f>'Comp Analysis'!G83</f>
        <v>-0.1807387714</v>
      </c>
      <c r="H13" s="50">
        <f>'Comp Analysis'!H83</f>
        <v>0.04825714567</v>
      </c>
      <c r="I13" s="41" t="str">
        <f>'Comp Analysis'!I83</f>
        <v/>
      </c>
      <c r="J13" s="51">
        <f>'Comp Analysis'!J83</f>
        <v>0.04794707379</v>
      </c>
      <c r="K13" s="52">
        <f>'Comp Analysis'!K83</f>
        <v>0.0004234349206</v>
      </c>
      <c r="L13" s="98">
        <f>'Comp Analysis'!L83</f>
        <v>0.88</v>
      </c>
      <c r="M13" s="99">
        <f t="shared" si="1"/>
        <v>95.04</v>
      </c>
    </row>
    <row r="14">
      <c r="A14" s="48" t="str">
        <f>'Comp Analysis'!A84</f>
        <v>MNST</v>
      </c>
      <c r="B14" s="56">
        <f>'Comp Analysis'!B84</f>
        <v>106</v>
      </c>
      <c r="C14" s="50">
        <f>'Comp Analysis'!C84</f>
        <v>0.06252440072</v>
      </c>
      <c r="D14" s="50">
        <f>'Comp Analysis'!D84</f>
        <v>-0.1104580458</v>
      </c>
      <c r="E14" s="50">
        <f>'Comp Analysis'!E84</f>
        <v>0.1729824465</v>
      </c>
      <c r="F14" s="50">
        <f>'Comp Analysis'!F84</f>
        <v>0</v>
      </c>
      <c r="G14" s="50">
        <f>'Comp Analysis'!G84</f>
        <v>0.1729824465</v>
      </c>
      <c r="H14" s="55">
        <f>'Comp Analysis'!H84</f>
        <v>0.04365148895</v>
      </c>
      <c r="I14" s="41" t="str">
        <f>'Comp Analysis'!I84</f>
        <v/>
      </c>
      <c r="J14" s="51">
        <f>'Comp Analysis'!J84</f>
        <v>0.04337101029</v>
      </c>
      <c r="K14" s="52">
        <f>'Comp Analysis'!K84</f>
        <v>0</v>
      </c>
      <c r="L14" s="41" t="str">
        <f>'Comp Analysis'!L84</f>
        <v/>
      </c>
      <c r="M14" s="99">
        <f t="shared" si="1"/>
        <v>0</v>
      </c>
    </row>
    <row r="15">
      <c r="A15" s="48" t="str">
        <f>'Comp Analysis'!A85</f>
        <v>NFLX</v>
      </c>
      <c r="B15" s="56">
        <f>'Comp Analysis'!B85</f>
        <v>53</v>
      </c>
      <c r="C15" s="50">
        <f>'Comp Analysis'!C85</f>
        <v>-0.06102512563</v>
      </c>
      <c r="D15" s="50">
        <f>'Comp Analysis'!D85</f>
        <v>-0.04607732733</v>
      </c>
      <c r="E15" s="50">
        <f>'Comp Analysis'!E85</f>
        <v>-0.0149477983</v>
      </c>
      <c r="F15" s="50">
        <f>'Comp Analysis'!F85</f>
        <v>0</v>
      </c>
      <c r="G15" s="50">
        <f>'Comp Analysis'!G85</f>
        <v>-0.0149477983</v>
      </c>
      <c r="H15" s="55">
        <f>'Comp Analysis'!H85</f>
        <v>0.05515351224</v>
      </c>
      <c r="I15" s="41" t="str">
        <f>'Comp Analysis'!I85</f>
        <v/>
      </c>
      <c r="J15" s="51">
        <f>'Comp Analysis'!J85</f>
        <v>0.05479912839</v>
      </c>
      <c r="K15" s="52">
        <f>'Comp Analysis'!K85</f>
        <v>0</v>
      </c>
      <c r="L15" s="41" t="str">
        <f>'Comp Analysis'!L85</f>
        <v/>
      </c>
      <c r="M15" s="99">
        <f t="shared" si="1"/>
        <v>0</v>
      </c>
    </row>
    <row r="16">
      <c r="A16" s="48" t="str">
        <f>'Comp Analysis'!A86</f>
        <v>SEIC</v>
      </c>
      <c r="B16" s="56">
        <f>'Comp Analysis'!B86</f>
        <v>174</v>
      </c>
      <c r="C16" s="50">
        <f>'Comp Analysis'!C86</f>
        <v>-0.04545005089</v>
      </c>
      <c r="D16" s="50">
        <f>'Comp Analysis'!D86</f>
        <v>-0.06222215878</v>
      </c>
      <c r="E16" s="50">
        <f>'Comp Analysis'!E86</f>
        <v>0.01677210789</v>
      </c>
      <c r="F16" s="50">
        <f>'Comp Analysis'!F86</f>
        <v>0.008655198529</v>
      </c>
      <c r="G16" s="50">
        <f>'Comp Analysis'!G86</f>
        <v>0.02542730642</v>
      </c>
      <c r="H16" s="55">
        <f>'Comp Analysis'!H86</f>
        <v>0.04387015673</v>
      </c>
      <c r="I16" s="41" t="str">
        <f>'Comp Analysis'!I86</f>
        <v/>
      </c>
      <c r="J16" s="51">
        <f>'Comp Analysis'!J86</f>
        <v>0.04358827304</v>
      </c>
      <c r="K16" s="52">
        <f>'Comp Analysis'!K86</f>
        <v>0.0003797049159</v>
      </c>
      <c r="L16" s="99">
        <f>'Comp Analysis'!L86</f>
        <v>0.8</v>
      </c>
      <c r="M16" s="99">
        <f t="shared" si="1"/>
        <v>139.2</v>
      </c>
    </row>
    <row r="17">
      <c r="A17" s="48" t="str">
        <f>'Comp Analysis'!A87</f>
        <v>TSCO</v>
      </c>
      <c r="B17" s="56">
        <f>'Comp Analysis'!B87</f>
        <v>97</v>
      </c>
      <c r="C17" s="50">
        <f>'Comp Analysis'!C87</f>
        <v>2.763927443</v>
      </c>
      <c r="D17" s="50">
        <f>'Comp Analysis'!D87</f>
        <v>0.6805414605</v>
      </c>
      <c r="E17" s="50">
        <f>'Comp Analysis'!E87</f>
        <v>2.083385982</v>
      </c>
      <c r="F17" s="50">
        <f>'Comp Analysis'!F87</f>
        <v>0.01831574756</v>
      </c>
      <c r="G17" s="50">
        <f>'Comp Analysis'!G87</f>
        <v>2.10170173</v>
      </c>
      <c r="H17" s="50">
        <f>'Comp Analysis'!H87</f>
        <v>0.08683106894</v>
      </c>
      <c r="I17" s="41" t="str">
        <f>'Comp Analysis'!I87</f>
        <v/>
      </c>
      <c r="J17" s="51">
        <f>'Comp Analysis'!J87</f>
        <v>0.08627314384</v>
      </c>
      <c r="K17" s="52">
        <f>'Comp Analysis'!K87</f>
        <v>0.001590375939</v>
      </c>
      <c r="L17" s="98">
        <f>'Comp Analysis'!L87</f>
        <v>3.68</v>
      </c>
      <c r="M17" s="99">
        <f t="shared" si="1"/>
        <v>356.96</v>
      </c>
    </row>
    <row r="18">
      <c r="A18" s="48" t="str">
        <f>'Comp Analysis'!A88</f>
        <v>V</v>
      </c>
      <c r="B18" s="56">
        <f>'Comp Analysis'!B88</f>
        <v>60</v>
      </c>
      <c r="C18" s="50">
        <f>'Comp Analysis'!C88</f>
        <v>9.479724899</v>
      </c>
      <c r="D18" s="50">
        <f>'Comp Analysis'!D88</f>
        <v>2.137705454</v>
      </c>
      <c r="E18" s="50">
        <f>'Comp Analysis'!E88</f>
        <v>7.342019444</v>
      </c>
      <c r="F18" s="50">
        <f>'Comp Analysis'!F88</f>
        <v>0.00730994152</v>
      </c>
      <c r="G18" s="50">
        <f>'Comp Analysis'!G88</f>
        <v>7.349329386</v>
      </c>
      <c r="H18" s="50">
        <f>'Comp Analysis'!H88</f>
        <v>0.05485406926</v>
      </c>
      <c r="I18" s="41" t="str">
        <f>'Comp Analysis'!I88</f>
        <v/>
      </c>
      <c r="J18" s="51">
        <f>'Comp Analysis'!J88</f>
        <v>0.05450160945</v>
      </c>
      <c r="K18" s="52">
        <f>'Comp Analysis'!K88</f>
        <v>0.0004009800384</v>
      </c>
      <c r="L18" s="98">
        <f>'Comp Analysis'!L88</f>
        <v>1.5</v>
      </c>
      <c r="M18" s="99">
        <f t="shared" si="1"/>
        <v>90</v>
      </c>
    </row>
    <row r="19">
      <c r="A19" s="54" t="str">
        <f>'Comp Analysis'!A89</f>
        <v>YETI</v>
      </c>
      <c r="B19" s="56">
        <f>'Comp Analysis'!B89</f>
        <v>275</v>
      </c>
      <c r="C19" s="50">
        <f>'Comp Analysis'!C89</f>
        <v>-0.1449901044</v>
      </c>
      <c r="D19" s="50">
        <f>'Comp Analysis'!D89</f>
        <v>0.038393564</v>
      </c>
      <c r="E19" s="50">
        <f>'Comp Analysis'!E89</f>
        <v>-0.1833836684</v>
      </c>
      <c r="F19" s="50">
        <f>'Comp Analysis'!F89</f>
        <v>0</v>
      </c>
      <c r="G19" s="50">
        <f>'Comp Analysis'!G89</f>
        <v>-0.1833836684</v>
      </c>
      <c r="H19" s="50">
        <f>'Comp Analysis'!H89</f>
        <v>0.04733012437</v>
      </c>
      <c r="I19" s="41" t="str">
        <f>'Comp Analysis'!I89</f>
        <v/>
      </c>
      <c r="J19" s="51">
        <f>'Comp Analysis'!J89</f>
        <v>0.04702600898</v>
      </c>
      <c r="K19" s="52">
        <f>'Comp Analysis'!K89</f>
        <v>0</v>
      </c>
      <c r="L19" s="101" t="str">
        <f>'Comp Analysis'!L89</f>
        <v/>
      </c>
      <c r="M19" s="99">
        <f t="shared" si="1"/>
        <v>0</v>
      </c>
    </row>
    <row r="20">
      <c r="A20" s="48" t="str">
        <f>'Comp Analysis'!A90</f>
        <v/>
      </c>
      <c r="B20" s="56" t="str">
        <f>'Comp Analysis'!B90</f>
        <v/>
      </c>
      <c r="C20" s="50" t="str">
        <f>'Comp Analysis'!C90</f>
        <v/>
      </c>
      <c r="D20" s="50" t="str">
        <f>'Comp Analysis'!D90</f>
        <v/>
      </c>
      <c r="E20" s="50" t="str">
        <f>'Comp Analysis'!E90</f>
        <v/>
      </c>
      <c r="F20" s="50" t="str">
        <f>'Comp Analysis'!F90</f>
        <v/>
      </c>
      <c r="G20" s="36" t="str">
        <f>'Comp Analysis'!G90</f>
        <v/>
      </c>
      <c r="H20" s="36" t="str">
        <f>'Comp Analysis'!H90</f>
        <v/>
      </c>
      <c r="I20" s="41" t="str">
        <f>'Comp Analysis'!I90</f>
        <v/>
      </c>
      <c r="J20" s="102" t="str">
        <f>'Comp Analysis'!J90</f>
        <v/>
      </c>
      <c r="K20" s="35" t="str">
        <f>'Comp Analysis'!K90</f>
        <v/>
      </c>
      <c r="L20" s="35" t="str">
        <f>'Comp Analysis'!L90</f>
        <v/>
      </c>
      <c r="M20" s="99"/>
    </row>
    <row r="21">
      <c r="A21" s="48" t="str">
        <f>'Comp Analysis'!A91</f>
        <v>PORTFOLIO</v>
      </c>
      <c r="B21" s="36" t="str">
        <f>'Comp Analysis'!B91</f>
        <v/>
      </c>
      <c r="C21" s="50">
        <f>'Comp Analysis'!C91</f>
        <v>0.4118542297</v>
      </c>
      <c r="D21" s="50">
        <f>'Comp Analysis'!D91</f>
        <v>0.1196602943</v>
      </c>
      <c r="E21" s="50">
        <f>'Comp Analysis'!E91</f>
        <v>0.2921939354</v>
      </c>
      <c r="F21" s="50">
        <f>'Comp Analysis'!F91</f>
        <v>0.008384826741</v>
      </c>
      <c r="G21" s="50">
        <f>'Comp Analysis'!G91</f>
        <v>0.3005787622</v>
      </c>
      <c r="H21" s="50">
        <f>'Comp Analysis'!H91</f>
        <v>1</v>
      </c>
      <c r="I21" s="41" t="str">
        <f>'Comp Analysis'!I91</f>
        <v/>
      </c>
      <c r="J21" s="102" t="str">
        <f>'Comp Analysis'!J91</f>
        <v/>
      </c>
      <c r="K21" s="35" t="str">
        <f>'Comp Analysis'!K91</f>
        <v/>
      </c>
      <c r="L21" s="35" t="str">
        <f>'Comp Analysis'!L91</f>
        <v/>
      </c>
      <c r="M21" s="99">
        <f>SUM(M2:M19)</f>
        <v>1935.9502</v>
      </c>
    </row>
    <row r="22">
      <c r="A22" s="57" t="str">
        <f>'Comp Analysis'!A92</f>
        <v/>
      </c>
      <c r="B22" s="58" t="str">
        <f>'Comp Analysis'!B92</f>
        <v/>
      </c>
      <c r="C22" s="50" t="str">
        <f>'Comp Analysis'!C92</f>
        <v/>
      </c>
      <c r="D22" s="50" t="str">
        <f>'Comp Analysis'!D92</f>
        <v/>
      </c>
      <c r="E22" s="41" t="str">
        <f>'Comp Analysis'!E92</f>
        <v/>
      </c>
      <c r="F22" s="41" t="str">
        <f>'Comp Analysis'!F92</f>
        <v/>
      </c>
      <c r="G22" s="41" t="str">
        <f>'Comp Analysis'!G92</f>
        <v/>
      </c>
      <c r="H22" s="41" t="str">
        <f>'Comp Analysis'!H92</f>
        <v/>
      </c>
      <c r="I22" s="41" t="str">
        <f>'Comp Analysis'!I92</f>
        <v/>
      </c>
      <c r="J22" s="102" t="str">
        <f>'Comp Analysis'!J92</f>
        <v/>
      </c>
      <c r="K22" s="35" t="str">
        <f>'Comp Analysis'!K92</f>
        <v/>
      </c>
      <c r="L22" s="35" t="str">
        <f>'Comp Analysis'!L92</f>
        <v/>
      </c>
    </row>
    <row r="23">
      <c r="A23" s="57" t="str">
        <f>'Comp Analysis'!A93</f>
        <v>Port. Value: </v>
      </c>
      <c r="B23" s="58">
        <f>'Comp Analysis'!B93</f>
        <v>224450.0757</v>
      </c>
      <c r="C23" s="50" t="str">
        <f>'Comp Analysis'!C93</f>
        <v/>
      </c>
      <c r="D23" s="50" t="str">
        <f>'Comp Analysis'!D93</f>
        <v/>
      </c>
      <c r="E23" s="41" t="str">
        <f>'Comp Analysis'!E93</f>
        <v/>
      </c>
      <c r="F23" s="41" t="str">
        <f>'Comp Analysis'!F93</f>
        <v/>
      </c>
      <c r="G23" s="41" t="str">
        <f>'Comp Analysis'!G93</f>
        <v/>
      </c>
      <c r="H23" s="103">
        <f>'Comp Analysis'!H93</f>
        <v>0.9935745914</v>
      </c>
      <c r="I23" s="41" t="str">
        <f>'Comp Analysis'!I93</f>
        <v/>
      </c>
      <c r="J23" s="104">
        <f>'Comp Analysis'!J93</f>
        <v>0.9935745914</v>
      </c>
      <c r="K23" s="35" t="str">
        <f>'Comp Analysis'!K93</f>
        <v/>
      </c>
      <c r="L23" s="35" t="str">
        <f>'Comp Analysis'!L93</f>
        <v/>
      </c>
    </row>
    <row r="24">
      <c r="A24" s="57" t="str">
        <f>'Comp Analysis'!A94</f>
        <v>Cash:</v>
      </c>
      <c r="B24" s="61">
        <f>'Comp Analysis'!B94</f>
        <v>1451.51</v>
      </c>
      <c r="C24" s="50" t="str">
        <f>'Comp Analysis'!C94</f>
        <v/>
      </c>
      <c r="D24" s="50" t="str">
        <f>'Comp Analysis'!D94</f>
        <v/>
      </c>
      <c r="E24" s="41" t="str">
        <f>'Comp Analysis'!E94</f>
        <v/>
      </c>
      <c r="F24" s="41" t="str">
        <f>'Comp Analysis'!F94</f>
        <v/>
      </c>
      <c r="G24" s="41" t="str">
        <f>'Comp Analysis'!G94</f>
        <v/>
      </c>
      <c r="H24" s="103">
        <f>'Comp Analysis'!H94</f>
        <v>0.006425408636</v>
      </c>
      <c r="I24" s="41" t="str">
        <f>'Comp Analysis'!I94</f>
        <v/>
      </c>
      <c r="J24" s="104">
        <f>'Comp Analysis'!J94</f>
        <v>0.006425408636</v>
      </c>
      <c r="K24" s="35" t="str">
        <f>'Comp Analysis'!K94</f>
        <v/>
      </c>
      <c r="L24" s="35" t="str">
        <f>'Comp Analysis'!L94</f>
        <v/>
      </c>
    </row>
    <row r="25">
      <c r="A25" s="57" t="str">
        <f>'Comp Analysis'!A95</f>
        <v>Total Value:</v>
      </c>
      <c r="B25" s="58">
        <f>'Comp Analysis'!B95</f>
        <v>225901.5857</v>
      </c>
      <c r="C25" s="50" t="str">
        <f>'Comp Analysis'!C95</f>
        <v/>
      </c>
      <c r="D25" s="50" t="str">
        <f>'Comp Analysis'!D95</f>
        <v/>
      </c>
      <c r="E25" s="41" t="str">
        <f>'Comp Analysis'!E95</f>
        <v/>
      </c>
      <c r="F25" s="41" t="str">
        <f>'Comp Analysis'!F95</f>
        <v/>
      </c>
      <c r="G25" s="41" t="str">
        <f>'Comp Analysis'!G95</f>
        <v/>
      </c>
      <c r="H25" s="103">
        <f>'Comp Analysis'!H95</f>
        <v>1</v>
      </c>
      <c r="I25" s="41" t="str">
        <f>'Comp Analysis'!I95</f>
        <v/>
      </c>
      <c r="J25" s="50">
        <f>'Comp Analysis'!J95</f>
        <v>1</v>
      </c>
      <c r="K25" s="35" t="str">
        <f>'Comp Analysis'!K95</f>
        <v/>
      </c>
      <c r="L25" s="35" t="str">
        <f>'Comp Analysis'!L95</f>
        <v/>
      </c>
    </row>
    <row r="26">
      <c r="A26" s="3"/>
      <c r="B26" s="63"/>
      <c r="C26" s="21"/>
      <c r="D26" s="21"/>
    </row>
    <row r="27">
      <c r="A27" s="3"/>
      <c r="F27" s="64" t="s">
        <v>59</v>
      </c>
    </row>
  </sheetData>
  <mergeCells count="1">
    <mergeCell ref="I7:I8"/>
  </mergeCells>
  <conditionalFormatting sqref="A1:D25 E1 F1:F25 G1 H1:L25 E3:E25 G3:G25">
    <cfRule type="expression" dxfId="0" priority="1">
      <formula>A1&lt;0</formula>
    </cfRule>
  </conditionalFormatting>
  <conditionalFormatting sqref="C3:E21 G3:G19">
    <cfRule type="expression" dxfId="0" priority="2">
      <formula>C3&lt;0</formula>
    </cfRule>
  </conditionalFormatting>
  <conditionalFormatting sqref="C3:C19">
    <cfRule type="expression" dxfId="0" priority="3">
      <formula>$C$75&lt;0</formula>
    </cfRule>
  </conditionalFormatting>
  <conditionalFormatting sqref="E21">
    <cfRule type="expression" dxfId="0" priority="4">
      <formula>E21&lt;0</formula>
    </cfRule>
  </conditionalFormatting>
  <conditionalFormatting sqref="G21">
    <cfRule type="expression" dxfId="0" priority="5">
      <formula>G21&lt;0</formula>
    </cfRule>
  </conditionalFormatting>
  <conditionalFormatting sqref="B22:B25">
    <cfRule type="cellIs" dxfId="1" priority="6" operator="lessThan">
      <formula>0</formula>
    </cfRule>
  </conditionalFormatting>
  <conditionalFormatting sqref="B24:B25">
    <cfRule type="cellIs" dxfId="1" priority="7" operator="lessThan">
      <formula>0</formula>
    </cfRule>
  </conditionalFormatting>
  <conditionalFormatting sqref="H14:H16">
    <cfRule type="notContainsBlanks" dxfId="3" priority="8">
      <formula>LEN(TRIM(H14))&gt;0</formula>
    </cfRule>
  </conditionalFormatting>
  <conditionalFormatting sqref="H15:H17">
    <cfRule type="notContainsBlanks" dxfId="3" priority="9">
      <formula>LEN(TRIM(H15))&gt;0</formula>
    </cfRule>
  </conditionalFormatting>
  <drawing r:id="rId1"/>
</worksheet>
</file>